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Y:\2023. godina\Izvršenje financijskog plana\Godišnji Izvještaj o izvršenju financijskog plana\"/>
    </mc:Choice>
  </mc:AlternateContent>
  <bookViews>
    <workbookView xWindow="0" yWindow="0" windowWidth="28800" windowHeight="12180" firstSheet="2" activeTab="6"/>
  </bookViews>
  <sheets>
    <sheet name="SAŽETAK" sheetId="1" r:id="rId1"/>
    <sheet name=" Račun prihoda i rashoda" sheetId="3" r:id="rId2"/>
    <sheet name="Rashodi prema izvorima finan" sheetId="5" r:id="rId3"/>
    <sheet name="Rashodi prema funkcijskoj k " sheetId="8" r:id="rId4"/>
    <sheet name="Račun financiranja" sheetId="6" r:id="rId5"/>
    <sheet name="Račun fin prema izvorima f" sheetId="10" r:id="rId6"/>
    <sheet name="POSEBNI DIO" sheetId="7" r:id="rId7"/>
  </sheets>
  <definedNames>
    <definedName name="_xlnm.Print_Area" localSheetId="1">' Račun prihoda i rashoda'!$B$1:$I$133</definedName>
    <definedName name="_xlnm.Print_Area" localSheetId="0">SAŽETAK!$B$1:$L$27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L24" i="1" l="1"/>
  <c r="I26" i="1" l="1"/>
  <c r="H26" i="1"/>
  <c r="H32" i="5"/>
  <c r="H28" i="5"/>
  <c r="H26" i="5"/>
  <c r="H10" i="5"/>
  <c r="H12" i="5"/>
  <c r="H15" i="5"/>
  <c r="H16" i="5"/>
  <c r="G28" i="5"/>
  <c r="G30" i="5"/>
  <c r="G31" i="5"/>
  <c r="G32" i="5"/>
  <c r="G34" i="5"/>
  <c r="G12" i="5"/>
  <c r="G14" i="5"/>
  <c r="G15" i="5"/>
  <c r="G16" i="5"/>
  <c r="G13" i="1"/>
  <c r="K13" i="1" s="1"/>
  <c r="C27" i="5"/>
  <c r="C33" i="5"/>
  <c r="C32" i="5"/>
  <c r="C31" i="5"/>
  <c r="C30" i="5"/>
  <c r="C29" i="5" s="1"/>
  <c r="C28" i="5"/>
  <c r="C26" i="5"/>
  <c r="C25" i="5" s="1"/>
  <c r="C24" i="5"/>
  <c r="G24" i="5" s="1"/>
  <c r="C7" i="5"/>
  <c r="C6" i="5" s="1"/>
  <c r="C9" i="5"/>
  <c r="C11" i="5"/>
  <c r="C13" i="5"/>
  <c r="C17" i="5"/>
  <c r="C16" i="5"/>
  <c r="C15" i="5"/>
  <c r="C14" i="5"/>
  <c r="C12" i="5"/>
  <c r="C10" i="5"/>
  <c r="G10" i="5" s="1"/>
  <c r="C8" i="5"/>
  <c r="G8" i="5" s="1"/>
  <c r="G93" i="3"/>
  <c r="G107" i="3"/>
  <c r="G106" i="3" s="1"/>
  <c r="G92" i="3"/>
  <c r="G94" i="3"/>
  <c r="G85" i="3"/>
  <c r="G84" i="3"/>
  <c r="G130" i="3"/>
  <c r="G129" i="3" s="1"/>
  <c r="G128" i="3" s="1"/>
  <c r="G127" i="3"/>
  <c r="G126" i="3" s="1"/>
  <c r="G121" i="3"/>
  <c r="G120" i="3"/>
  <c r="G119" i="3"/>
  <c r="G117" i="3"/>
  <c r="G116" i="3" s="1"/>
  <c r="G115" i="3" s="1"/>
  <c r="G114" i="3"/>
  <c r="G113" i="3" s="1"/>
  <c r="G112" i="3"/>
  <c r="G111" i="3" s="1"/>
  <c r="G110" i="3" s="1"/>
  <c r="G104" i="3"/>
  <c r="G103" i="3" s="1"/>
  <c r="G102" i="3"/>
  <c r="G101" i="3"/>
  <c r="G100" i="3"/>
  <c r="G99" i="3" s="1"/>
  <c r="G98" i="3" s="1"/>
  <c r="G97" i="3"/>
  <c r="G96" i="3"/>
  <c r="G95" i="3"/>
  <c r="G90" i="3"/>
  <c r="G89" i="3" s="1"/>
  <c r="G88" i="3"/>
  <c r="G87" i="3"/>
  <c r="G86" i="3"/>
  <c r="G83" i="3"/>
  <c r="G82" i="3"/>
  <c r="G81" i="3"/>
  <c r="G80" i="3"/>
  <c r="G78" i="3"/>
  <c r="G77" i="3"/>
  <c r="G76" i="3"/>
  <c r="G75" i="3"/>
  <c r="G74" i="3"/>
  <c r="G71" i="3"/>
  <c r="G70" i="3"/>
  <c r="G69" i="3"/>
  <c r="G68" i="3" s="1"/>
  <c r="G66" i="3"/>
  <c r="G65" i="3"/>
  <c r="G63" i="3"/>
  <c r="G62" i="3" s="1"/>
  <c r="G61" i="3"/>
  <c r="G60" i="3"/>
  <c r="G59" i="3"/>
  <c r="G58" i="3"/>
  <c r="G57" i="3" s="1"/>
  <c r="G14" i="3"/>
  <c r="G37" i="3"/>
  <c r="G21" i="3"/>
  <c r="G20" i="3" s="1"/>
  <c r="G17" i="3"/>
  <c r="G16" i="3" s="1"/>
  <c r="G46" i="3"/>
  <c r="G45" i="3" s="1"/>
  <c r="G44" i="3" s="1"/>
  <c r="G43" i="3"/>
  <c r="G42" i="3"/>
  <c r="G41" i="3" s="1"/>
  <c r="G40" i="3" s="1"/>
  <c r="G36" i="3"/>
  <c r="G35" i="3"/>
  <c r="G31" i="3"/>
  <c r="G30" i="3" s="1"/>
  <c r="G32" i="3"/>
  <c r="G29" i="3"/>
  <c r="G28" i="3"/>
  <c r="G25" i="3"/>
  <c r="G23" i="3"/>
  <c r="G22" i="3" s="1"/>
  <c r="G18" i="3"/>
  <c r="G15" i="3"/>
  <c r="L13" i="1"/>
  <c r="L14" i="1"/>
  <c r="L10" i="1"/>
  <c r="G14" i="1"/>
  <c r="G15" i="1" s="1"/>
  <c r="G10" i="1"/>
  <c r="K10" i="1" s="1"/>
  <c r="J14" i="1"/>
  <c r="K14" i="1" s="1"/>
  <c r="F19" i="5"/>
  <c r="J130" i="3"/>
  <c r="F18" i="5"/>
  <c r="G18" i="5" s="1"/>
  <c r="F34" i="5"/>
  <c r="H34" i="5" s="1"/>
  <c r="F8" i="8"/>
  <c r="G73" i="3" l="1"/>
  <c r="G13" i="3"/>
  <c r="G26" i="5"/>
  <c r="G79" i="3"/>
  <c r="G67" i="3" s="1"/>
  <c r="G27" i="3"/>
  <c r="G26" i="3" s="1"/>
  <c r="G12" i="1"/>
  <c r="G16" i="1" s="1"/>
  <c r="C23" i="5"/>
  <c r="C22" i="5" s="1"/>
  <c r="H18" i="5"/>
  <c r="G91" i="3"/>
  <c r="G34" i="3"/>
  <c r="G33" i="3" s="1"/>
  <c r="G64" i="3"/>
  <c r="G56" i="3" s="1"/>
  <c r="G12" i="3"/>
  <c r="G11" i="3" s="1"/>
  <c r="G10" i="3" s="1"/>
  <c r="G109" i="3"/>
  <c r="H252" i="7"/>
  <c r="H251" i="7" s="1"/>
  <c r="H258" i="7"/>
  <c r="H257" i="7" s="1"/>
  <c r="H256" i="7" s="1"/>
  <c r="H255" i="7" s="1"/>
  <c r="H254" i="7" s="1"/>
  <c r="H54" i="7"/>
  <c r="H53" i="7" s="1"/>
  <c r="H58" i="7"/>
  <c r="H60" i="7"/>
  <c r="H64" i="7"/>
  <c r="H68" i="7"/>
  <c r="H74" i="7"/>
  <c r="H92" i="7"/>
  <c r="H91" i="7" s="1"/>
  <c r="I91" i="7" s="1"/>
  <c r="H88" i="7"/>
  <c r="H84" i="7" s="1"/>
  <c r="H61" i="7"/>
  <c r="H55" i="7"/>
  <c r="H59" i="7"/>
  <c r="G55" i="3" l="1"/>
  <c r="H63" i="7"/>
  <c r="I63" i="7" s="1"/>
  <c r="H250" i="7"/>
  <c r="I251" i="7"/>
  <c r="G54" i="3"/>
  <c r="C8" i="8" s="1"/>
  <c r="H246" i="7"/>
  <c r="H245" i="7" s="1"/>
  <c r="H248" i="7"/>
  <c r="H240" i="7"/>
  <c r="H239" i="7" s="1"/>
  <c r="I239" i="7" s="1"/>
  <c r="H237" i="7"/>
  <c r="H236" i="7" s="1"/>
  <c r="H235" i="7" s="1"/>
  <c r="H219" i="7"/>
  <c r="H218" i="7" s="1"/>
  <c r="H208" i="7"/>
  <c r="H207" i="7" s="1"/>
  <c r="H211" i="7"/>
  <c r="H224" i="7"/>
  <c r="H223" i="7" s="1"/>
  <c r="H226" i="7"/>
  <c r="I226" i="7" s="1"/>
  <c r="H227" i="7"/>
  <c r="H231" i="7"/>
  <c r="H230" i="7" s="1"/>
  <c r="H229" i="7" s="1"/>
  <c r="H214" i="7"/>
  <c r="H213" i="7"/>
  <c r="H202" i="7"/>
  <c r="H201" i="7" s="1"/>
  <c r="H200" i="7" s="1"/>
  <c r="H199" i="7" s="1"/>
  <c r="H198" i="7" s="1"/>
  <c r="H178" i="7"/>
  <c r="H180" i="7"/>
  <c r="H189" i="7"/>
  <c r="H191" i="7"/>
  <c r="H195" i="7"/>
  <c r="H194" i="7" s="1"/>
  <c r="H188" i="7"/>
  <c r="H176" i="7"/>
  <c r="H175" i="7" s="1"/>
  <c r="H174" i="7" s="1"/>
  <c r="I174" i="7" s="1"/>
  <c r="H186" i="7"/>
  <c r="H184" i="7" s="1"/>
  <c r="H177" i="7" s="1"/>
  <c r="I177" i="7" s="1"/>
  <c r="H169" i="7"/>
  <c r="H105" i="7"/>
  <c r="H109" i="7"/>
  <c r="H115" i="7"/>
  <c r="H125" i="7"/>
  <c r="H127" i="7"/>
  <c r="H136" i="7"/>
  <c r="H135" i="7" s="1"/>
  <c r="I135" i="7" s="1"/>
  <c r="H142" i="7"/>
  <c r="H141" i="7" s="1"/>
  <c r="I141" i="7" s="1"/>
  <c r="H102" i="7"/>
  <c r="H99" i="7"/>
  <c r="H98" i="7" s="1"/>
  <c r="I98" i="7" s="1"/>
  <c r="H146" i="7"/>
  <c r="H148" i="7"/>
  <c r="H151" i="7"/>
  <c r="H157" i="7"/>
  <c r="H159" i="7"/>
  <c r="H161" i="7"/>
  <c r="H164" i="7"/>
  <c r="H163" i="7" s="1"/>
  <c r="I163" i="7" s="1"/>
  <c r="H167" i="7"/>
  <c r="H28" i="7"/>
  <c r="H23" i="7"/>
  <c r="H49" i="7"/>
  <c r="H48" i="7" s="1"/>
  <c r="I48" i="7" s="1"/>
  <c r="H46" i="7"/>
  <c r="H45" i="7" s="1"/>
  <c r="I45" i="7" s="1"/>
  <c r="H35" i="7"/>
  <c r="H34" i="7" s="1"/>
  <c r="H31" i="7"/>
  <c r="H29" i="7" s="1"/>
  <c r="H26" i="7"/>
  <c r="H44" i="7"/>
  <c r="H43" i="7" s="1"/>
  <c r="H39" i="7"/>
  <c r="H27" i="7"/>
  <c r="H14" i="7"/>
  <c r="H40" i="7"/>
  <c r="H20" i="7"/>
  <c r="H17" i="7"/>
  <c r="H16" i="7" s="1"/>
  <c r="H41" i="7"/>
  <c r="H15" i="7"/>
  <c r="H22" i="7"/>
  <c r="F7" i="8"/>
  <c r="F17" i="5"/>
  <c r="F13" i="5"/>
  <c r="F11" i="5"/>
  <c r="F9" i="5"/>
  <c r="F35" i="5"/>
  <c r="F23" i="5"/>
  <c r="F25" i="5"/>
  <c r="F27" i="5"/>
  <c r="F29" i="5"/>
  <c r="F33" i="5"/>
  <c r="F7" i="5"/>
  <c r="I207" i="7" l="1"/>
  <c r="H206" i="7"/>
  <c r="I218" i="7"/>
  <c r="H217" i="7"/>
  <c r="I223" i="7"/>
  <c r="H222" i="7"/>
  <c r="I235" i="7"/>
  <c r="H234" i="7"/>
  <c r="I245" i="7"/>
  <c r="H244" i="7"/>
  <c r="F22" i="5"/>
  <c r="G33" i="5"/>
  <c r="H33" i="5"/>
  <c r="G29" i="5"/>
  <c r="G13" i="5"/>
  <c r="H193" i="7"/>
  <c r="G27" i="5"/>
  <c r="H38" i="7"/>
  <c r="H37" i="7" s="1"/>
  <c r="I37" i="7" s="1"/>
  <c r="I250" i="7"/>
  <c r="G7" i="5"/>
  <c r="F6" i="5"/>
  <c r="G9" i="5"/>
  <c r="H9" i="5"/>
  <c r="H11" i="5"/>
  <c r="G11" i="5"/>
  <c r="H52" i="7"/>
  <c r="G25" i="5"/>
  <c r="G23" i="5"/>
  <c r="G17" i="5"/>
  <c r="F6" i="8"/>
  <c r="G8" i="8"/>
  <c r="C7" i="8"/>
  <c r="H173" i="7"/>
  <c r="H13" i="7"/>
  <c r="H12" i="7" s="1"/>
  <c r="H150" i="7"/>
  <c r="I150" i="7" s="1"/>
  <c r="H145" i="7"/>
  <c r="I145" i="7" s="1"/>
  <c r="H166" i="7"/>
  <c r="H33" i="7"/>
  <c r="I33" i="7" s="1"/>
  <c r="H104" i="7"/>
  <c r="H21" i="7"/>
  <c r="J80" i="3"/>
  <c r="J79" i="3" s="1"/>
  <c r="J132" i="3"/>
  <c r="J131" i="3" s="1"/>
  <c r="J129" i="3"/>
  <c r="J128" i="3" s="1"/>
  <c r="J126" i="3"/>
  <c r="J124" i="3"/>
  <c r="J122" i="3"/>
  <c r="J116" i="3"/>
  <c r="J113" i="3"/>
  <c r="J111" i="3"/>
  <c r="J110" i="3" s="1"/>
  <c r="J104" i="3"/>
  <c r="J103" i="3" s="1"/>
  <c r="J99" i="3"/>
  <c r="J98" i="3" s="1"/>
  <c r="J91" i="3"/>
  <c r="J89" i="3"/>
  <c r="J73" i="3"/>
  <c r="J68" i="3"/>
  <c r="J64" i="3"/>
  <c r="J62" i="3"/>
  <c r="J57" i="3"/>
  <c r="J48" i="3"/>
  <c r="J47" i="3" s="1"/>
  <c r="J45" i="3"/>
  <c r="J44" i="3" s="1"/>
  <c r="J41" i="3"/>
  <c r="J40" i="3" s="1"/>
  <c r="J37" i="3"/>
  <c r="J34" i="3"/>
  <c r="J31" i="3"/>
  <c r="J30" i="3" s="1"/>
  <c r="J27" i="3"/>
  <c r="J26" i="3" s="1"/>
  <c r="J22" i="3"/>
  <c r="J18" i="3"/>
  <c r="J13" i="3"/>
  <c r="J12" i="1"/>
  <c r="J15" i="1"/>
  <c r="G53" i="7"/>
  <c r="G250" i="7"/>
  <c r="G244" i="7"/>
  <c r="G235" i="7"/>
  <c r="G234" i="7" s="1"/>
  <c r="G233" i="7" s="1"/>
  <c r="G222" i="7"/>
  <c r="G221" i="7" s="1"/>
  <c r="G217" i="7"/>
  <c r="G206" i="7"/>
  <c r="G205" i="7" s="1"/>
  <c r="G194" i="7"/>
  <c r="G193" i="7" s="1"/>
  <c r="G173" i="7"/>
  <c r="G144" i="7"/>
  <c r="G97" i="7"/>
  <c r="G33" i="7"/>
  <c r="G11" i="7"/>
  <c r="E8" i="8"/>
  <c r="E24" i="5"/>
  <c r="E8" i="5"/>
  <c r="E33" i="5"/>
  <c r="E31" i="5"/>
  <c r="E27" i="5"/>
  <c r="H27" i="5" s="1"/>
  <c r="E25" i="5"/>
  <c r="H25" i="5" s="1"/>
  <c r="E17" i="5"/>
  <c r="H17" i="5" s="1"/>
  <c r="E13" i="5"/>
  <c r="H13" i="5" s="1"/>
  <c r="E11" i="5"/>
  <c r="E9" i="5"/>
  <c r="I56" i="3"/>
  <c r="I55" i="3" s="1"/>
  <c r="I109" i="3"/>
  <c r="I15" i="1"/>
  <c r="I12" i="1"/>
  <c r="F244" i="7"/>
  <c r="F250" i="7"/>
  <c r="F235" i="7"/>
  <c r="F234" i="7" s="1"/>
  <c r="F233" i="7" s="1"/>
  <c r="F222" i="7"/>
  <c r="F221" i="7" s="1"/>
  <c r="F206" i="7"/>
  <c r="F217" i="7"/>
  <c r="F173" i="7"/>
  <c r="F194" i="7"/>
  <c r="F193" i="7" s="1"/>
  <c r="F97" i="7"/>
  <c r="F144" i="7"/>
  <c r="F52" i="7"/>
  <c r="F51" i="7" s="1"/>
  <c r="F11" i="7"/>
  <c r="F33" i="7"/>
  <c r="F10" i="7" s="1"/>
  <c r="H11" i="7" l="1"/>
  <c r="I12" i="7"/>
  <c r="I222" i="7"/>
  <c r="H221" i="7"/>
  <c r="I221" i="7" s="1"/>
  <c r="E7" i="8"/>
  <c r="H8" i="8"/>
  <c r="H144" i="7"/>
  <c r="I144" i="7" s="1"/>
  <c r="I166" i="7"/>
  <c r="G22" i="5"/>
  <c r="K12" i="1"/>
  <c r="L12" i="1"/>
  <c r="I52" i="7"/>
  <c r="H51" i="7"/>
  <c r="I51" i="7" s="1"/>
  <c r="G6" i="5"/>
  <c r="H205" i="7"/>
  <c r="I217" i="7"/>
  <c r="H172" i="7"/>
  <c r="I173" i="7"/>
  <c r="I194" i="7"/>
  <c r="E23" i="5"/>
  <c r="H23" i="5" s="1"/>
  <c r="H24" i="5"/>
  <c r="I244" i="7"/>
  <c r="H243" i="7"/>
  <c r="I193" i="7"/>
  <c r="I206" i="7"/>
  <c r="I234" i="7"/>
  <c r="H233" i="7"/>
  <c r="I233" i="7" s="1"/>
  <c r="E29" i="5"/>
  <c r="H29" i="5" s="1"/>
  <c r="H31" i="5"/>
  <c r="G52" i="7"/>
  <c r="G51" i="7" s="1"/>
  <c r="I53" i="7"/>
  <c r="E7" i="5"/>
  <c r="H7" i="5" s="1"/>
  <c r="H8" i="5"/>
  <c r="L15" i="1"/>
  <c r="K15" i="1"/>
  <c r="H97" i="7"/>
  <c r="I104" i="7"/>
  <c r="K26" i="3"/>
  <c r="L26" i="3"/>
  <c r="K40" i="3"/>
  <c r="L40" i="3"/>
  <c r="L110" i="3"/>
  <c r="K110" i="3"/>
  <c r="L30" i="3"/>
  <c r="K30" i="3"/>
  <c r="K44" i="3"/>
  <c r="L44" i="3"/>
  <c r="K98" i="3"/>
  <c r="L98" i="3"/>
  <c r="J115" i="3"/>
  <c r="K128" i="3"/>
  <c r="L128" i="3"/>
  <c r="K103" i="3"/>
  <c r="L103" i="3"/>
  <c r="C6" i="8"/>
  <c r="G6" i="8" s="1"/>
  <c r="G7" i="8"/>
  <c r="J16" i="1"/>
  <c r="F9" i="7"/>
  <c r="F8" i="7" s="1"/>
  <c r="G243" i="7"/>
  <c r="G242" i="7" s="1"/>
  <c r="F243" i="7"/>
  <c r="F242" i="7" s="1"/>
  <c r="G10" i="7"/>
  <c r="G9" i="7" s="1"/>
  <c r="F96" i="7"/>
  <c r="F95" i="7" s="1"/>
  <c r="F205" i="7"/>
  <c r="F204" i="7" s="1"/>
  <c r="F172" i="7"/>
  <c r="F171" i="7" s="1"/>
  <c r="G96" i="7"/>
  <c r="G95" i="7" s="1"/>
  <c r="I16" i="1"/>
  <c r="I27" i="1" s="1"/>
  <c r="J12" i="3"/>
  <c r="J33" i="3"/>
  <c r="J56" i="3"/>
  <c r="J67" i="3"/>
  <c r="I54" i="3"/>
  <c r="G204" i="7"/>
  <c r="G172" i="7"/>
  <c r="G171" i="7" s="1"/>
  <c r="E6" i="5"/>
  <c r="H6" i="5" s="1"/>
  <c r="J25" i="1" l="1"/>
  <c r="L16" i="1"/>
  <c r="K16" i="1"/>
  <c r="H96" i="7"/>
  <c r="I97" i="7"/>
  <c r="E22" i="5"/>
  <c r="H22" i="5" s="1"/>
  <c r="H171" i="7"/>
  <c r="I171" i="7" s="1"/>
  <c r="I172" i="7"/>
  <c r="E6" i="8"/>
  <c r="H6" i="8" s="1"/>
  <c r="H7" i="8"/>
  <c r="I243" i="7"/>
  <c r="H242" i="7"/>
  <c r="I242" i="7" s="1"/>
  <c r="I205" i="7"/>
  <c r="H204" i="7"/>
  <c r="I204" i="7" s="1"/>
  <c r="H10" i="7"/>
  <c r="I11" i="7"/>
  <c r="L33" i="3"/>
  <c r="K33" i="3"/>
  <c r="K115" i="3"/>
  <c r="L115" i="3"/>
  <c r="L12" i="3"/>
  <c r="K12" i="3"/>
  <c r="J109" i="3"/>
  <c r="L67" i="3"/>
  <c r="K67" i="3"/>
  <c r="L56" i="3"/>
  <c r="K56" i="3"/>
  <c r="G8" i="7"/>
  <c r="J55" i="3"/>
  <c r="D13" i="5"/>
  <c r="D9" i="5"/>
  <c r="D11" i="5"/>
  <c r="D17" i="5"/>
  <c r="D8" i="5"/>
  <c r="D7" i="5" s="1"/>
  <c r="D31" i="5"/>
  <c r="D33" i="5"/>
  <c r="D29" i="5"/>
  <c r="D27" i="5"/>
  <c r="D25" i="5"/>
  <c r="D24" i="5"/>
  <c r="D23" i="5" s="1"/>
  <c r="H109" i="3"/>
  <c r="H55" i="3"/>
  <c r="I11" i="3"/>
  <c r="I10" i="3" s="1"/>
  <c r="J11" i="3"/>
  <c r="H11" i="3"/>
  <c r="H10" i="3" s="1"/>
  <c r="H15" i="1"/>
  <c r="D8" i="8" s="1"/>
  <c r="D7" i="8" s="1"/>
  <c r="D6" i="8" s="1"/>
  <c r="H12" i="1"/>
  <c r="H16" i="1" s="1"/>
  <c r="H27" i="1" s="1"/>
  <c r="I10" i="7" l="1"/>
  <c r="H9" i="7"/>
  <c r="H95" i="7"/>
  <c r="I95" i="7" s="1"/>
  <c r="I96" i="7"/>
  <c r="L25" i="1"/>
  <c r="J26" i="1"/>
  <c r="J54" i="3"/>
  <c r="K55" i="3"/>
  <c r="L55" i="3"/>
  <c r="J10" i="3"/>
  <c r="L11" i="3"/>
  <c r="K11" i="3"/>
  <c r="L109" i="3"/>
  <c r="K109" i="3"/>
  <c r="D6" i="5"/>
  <c r="H54" i="3"/>
  <c r="D22" i="5"/>
  <c r="L26" i="1" l="1"/>
  <c r="J27" i="1"/>
  <c r="I9" i="7"/>
  <c r="H8" i="7"/>
  <c r="I8" i="7" s="1"/>
  <c r="K54" i="3"/>
  <c r="L54" i="3"/>
  <c r="L10" i="3"/>
  <c r="K10" i="3"/>
</calcChain>
</file>

<file path=xl/sharedStrings.xml><?xml version="1.0" encoding="utf-8"?>
<sst xmlns="http://schemas.openxmlformats.org/spreadsheetml/2006/main" count="560" uniqueCount="233">
  <si>
    <t>PRIHODI UKUPNO</t>
  </si>
  <si>
    <t>RASHODI UKUPNO</t>
  </si>
  <si>
    <t>RAZLIKA - VIŠAK / MANJAK</t>
  </si>
  <si>
    <t>Prihodi poslovanja</t>
  </si>
  <si>
    <t>Rashodi poslovanja</t>
  </si>
  <si>
    <t>Rashodi za zaposlene</t>
  </si>
  <si>
    <t>Rashodi za nabavu nefinancijske imovine</t>
  </si>
  <si>
    <t>Rashodi za nabavu neproizvedene dugotrajne imovine</t>
  </si>
  <si>
    <t>BROJČANA OZNAKA I NAZIV</t>
  </si>
  <si>
    <t>Primici od financijske imovine i zaduživanja</t>
  </si>
  <si>
    <t>Izdaci za financijsku imovinu i otplate zajmova</t>
  </si>
  <si>
    <t>II. POSEBNI DIO</t>
  </si>
  <si>
    <t>I. OPĆI DIO</t>
  </si>
  <si>
    <t>Materijalni rashodi</t>
  </si>
  <si>
    <t>Primici od zaduživanja</t>
  </si>
  <si>
    <t>Izdaci za otplatu glavnice primljenih kredita i zajmova</t>
  </si>
  <si>
    <t>Pomoći iz inozemstva i od subjekata unutar općeg proračuna</t>
  </si>
  <si>
    <t>…</t>
  </si>
  <si>
    <t>PRIJENOS SREDSTAVA IZ PRETHODNE GODINE</t>
  </si>
  <si>
    <t xml:space="preserve"> Prihodi od prodaje proizvoda i robe te pruženih usluga i prihodi od donacija</t>
  </si>
  <si>
    <t>1 Opći prihodi i primici</t>
  </si>
  <si>
    <t>11 Opći prihodi i primici</t>
  </si>
  <si>
    <t>12 Sredstva učešća za pomoći</t>
  </si>
  <si>
    <t>….</t>
  </si>
  <si>
    <t>2 Doprinosi</t>
  </si>
  <si>
    <t>21 Doprinosi za mirovinsko osiguranje</t>
  </si>
  <si>
    <t>3 Vlastiti prihodi</t>
  </si>
  <si>
    <t>31 Vlastiti prihodi</t>
  </si>
  <si>
    <t>Prihodi od prodaje nefinancijske imovine</t>
  </si>
  <si>
    <t>Prihodi od prodaje proizvedene dugotrajne imovine</t>
  </si>
  <si>
    <t>INDEKS</t>
  </si>
  <si>
    <t>7 PRIHODI OD PRODAJE NEFINANCIJSKE IMOVINE</t>
  </si>
  <si>
    <t>6 PRIHODI POSLOVANJA</t>
  </si>
  <si>
    <t>3 RASHODI  POSLOVANJA</t>
  </si>
  <si>
    <t>4 RASHODI ZA NABAVU NEFINANCIJSKE IMOVINE</t>
  </si>
  <si>
    <t>8 PRIMICI OD FINANCIJSKE IMOVINE I ZADUŽIVANJA</t>
  </si>
  <si>
    <t>5 IZDACI ZA FINANCIJSKU IMOVINU I OTPLATE ZAJMOVA</t>
  </si>
  <si>
    <t>Prihodi od prodaje proizvoda i robe te pruženih usluga</t>
  </si>
  <si>
    <t>Prihodi od prodaje proizvoda i robe</t>
  </si>
  <si>
    <t>Plaće (Bruto)</t>
  </si>
  <si>
    <t>Plaće za redovan rad</t>
  </si>
  <si>
    <t>Naknade troškova zaposlenima</t>
  </si>
  <si>
    <t>Službena putovanja</t>
  </si>
  <si>
    <t>Materijalna imovina - prirodna bogatstva</t>
  </si>
  <si>
    <t>Zemljište</t>
  </si>
  <si>
    <t>6=5/2*100</t>
  </si>
  <si>
    <t>7=5/4*100</t>
  </si>
  <si>
    <t xml:space="preserve">IZVJEŠTAJ O PRIHODIMA I RASHODIMA PREMA EKONOMSKOJ KLASIFIKACIJI </t>
  </si>
  <si>
    <t>IZVJEŠTAJ O PRIHODIMA I RASHODIMA PREMA IZVORIMA FINANCIRANJA</t>
  </si>
  <si>
    <t>IZVJEŠTAJ O RASHODIMA PREMA FUNKCIJSKOJ KLASIFIKACIJI</t>
  </si>
  <si>
    <t xml:space="preserve">IZVJEŠTAJ RAČUNA FINANCIRANJA PREMA EKONOMSKOJ KLASIFIKACIJI </t>
  </si>
  <si>
    <t>Primljeni krediti i zajmovi od međunarodnih organizacija, institucija i tijela EU te inozemnih vlada</t>
  </si>
  <si>
    <t>Primljeni zajmovi od međunarodnih organizacija</t>
  </si>
  <si>
    <t>Otplata glavnice primljenih kredita i zajmova od međunarodnih organizacija, institucija i tijela EU te inozemnih vlada</t>
  </si>
  <si>
    <t>Otplata glavnice primljenih zajmova od međunarodnih organizacija</t>
  </si>
  <si>
    <t>IZVJEŠTAJ RAČUNA FINANCIRANJA PREMA IZVORIMA FINANCIRANJA</t>
  </si>
  <si>
    <t>5=4/3*100</t>
  </si>
  <si>
    <t>UKUPNO PRIMICI</t>
  </si>
  <si>
    <t xml:space="preserve">UKUPNO IZDACI </t>
  </si>
  <si>
    <t xml:space="preserve">UKUPNO PRIHODI </t>
  </si>
  <si>
    <t>UKUPNO RASHODI</t>
  </si>
  <si>
    <t>UKUPNO PRIHODI</t>
  </si>
  <si>
    <t>INDEKS**</t>
  </si>
  <si>
    <t>RAZLIKA PRIMITAKA I IZDATAKA</t>
  </si>
  <si>
    <t>SAŽETAK  RAČUNA PRIHODA I RASHODA I RAČUNA FINANCIRANJA</t>
  </si>
  <si>
    <t xml:space="preserve"> RAČUN FINANCIRANJA</t>
  </si>
  <si>
    <t xml:space="preserve"> RAČUN PRIHODA I RASHODA </t>
  </si>
  <si>
    <t>IZVJEŠTAJ PO PROGRAMSKOJ KLASIFIKACIJI</t>
  </si>
  <si>
    <t>PRIJENOS SREDSTAVA U SLJEDEĆE RAZDOBLJE</t>
  </si>
  <si>
    <t>SAŽETAK RAČUNA FINANCIRANJA</t>
  </si>
  <si>
    <t xml:space="preserve">NETO FINANCIRANJE </t>
  </si>
  <si>
    <t xml:space="preserve">VIŠAK/MANJAK + NETO FINANCIRANJE </t>
  </si>
  <si>
    <t>SAŽETAK RAČUNA PRIHODA I RASHODA</t>
  </si>
  <si>
    <t>IZVORNI PLAN ILI REBALANS N.*</t>
  </si>
  <si>
    <t>TEKUĆI PLAN N.*</t>
  </si>
  <si>
    <t xml:space="preserve">OSTVARENJE/IZVRŠENJE 
N. </t>
  </si>
  <si>
    <t>Napomena:  Iznosi u stupcu "OSTVARENJE/IZVRŠENJE N-1." preračunavaju se iz kuna u eure prema fiksnom tečaju konverzije (1 EUR=7,53450 kuna) i po pravilima za preračunavanje i zaokruživanje.</t>
  </si>
  <si>
    <t>Napomena : Iznosi u stupcima "OSTVARENJE/IZVRŠENJE N-1." i "OSTVARENJE/IZVRŠENJE N." iskazuju se na dvije decimale.</t>
  </si>
  <si>
    <t xml:space="preserve">OSTVARENJE/IZVRŠENJE 
N-1. </t>
  </si>
  <si>
    <t xml:space="preserve">Napomena : "N" označava razdoblje </t>
  </si>
  <si>
    <t xml:space="preserve">* Opći i posebni dio izvještaja o izvršenju proračuna sadrži samo izvorni plan ako od donošenja proračuna nije bilo izmjena i dopuna niti izvršenih preraspodjela odnosno izvorni plan i tekući plan ako je od donošenja proračuna bilo naknadno izvršenih preraspodjela.  
Opći i posebni dio izvještaja o izvršenju proračuna sadrži rebalans ako je od donošenja proračuna bilo izmjena i dopuna, odnosno rebalans i tekući plan ako je od izmjena i dopuna proračuna bilo naknadno izvršenih preraspodjela. </t>
  </si>
  <si>
    <t xml:space="preserve">** AKO Opći i Posebni dio izvještaja ne sadrži "TEKUĆI PLAN N.", "INDEKS"("OSTVARENJE/IZVRŠENJE N."/"TEKUĆI PLAN N.") iskazuje se kao "OSTVARENJE/IZVRŠENJE N."/"IZVORNI PLAN N." ODNOSNO "REBALANS N." </t>
  </si>
  <si>
    <t>4 Prihodi za posebne namjene</t>
  </si>
  <si>
    <t>43 Ostali prihodi za posebne nemajene</t>
  </si>
  <si>
    <t>5 Pomoći</t>
  </si>
  <si>
    <t>52 Ostali pomoći i darovnice</t>
  </si>
  <si>
    <t>57 Ostali programi EU</t>
  </si>
  <si>
    <t>6 Donacije</t>
  </si>
  <si>
    <t>61 Donacije</t>
  </si>
  <si>
    <t>08 Rekreacija, kultura i religija</t>
  </si>
  <si>
    <t>082 Službe kulture</t>
  </si>
  <si>
    <t>Hrvatski državni arhiv</t>
  </si>
  <si>
    <t>Opći prihodi i primitci</t>
  </si>
  <si>
    <t>A56502818</t>
  </si>
  <si>
    <t>Arhivi programska djelatnost</t>
  </si>
  <si>
    <t>stručno usavršavanje zaposlenika</t>
  </si>
  <si>
    <t>Rashodi za materijal i energiju</t>
  </si>
  <si>
    <t>Uredski materijal i ostali materijal</t>
  </si>
  <si>
    <t>Materijal i dijelovi za tekuće i investicijsko održavanje</t>
  </si>
  <si>
    <t>Sitan inventar i autogume</t>
  </si>
  <si>
    <t>Službena,radna  i zaštitna odjeća</t>
  </si>
  <si>
    <t>Rashodi za usluge</t>
  </si>
  <si>
    <t>Usluge telefona, pošte i prijevoza</t>
  </si>
  <si>
    <t>Usluge tekućeg i investicijskog održavanja</t>
  </si>
  <si>
    <t>Usluge promidžbe i informiranja</t>
  </si>
  <si>
    <t>Zakupnine i najamnine</t>
  </si>
  <si>
    <t>Intelektualne i osobne usluge</t>
  </si>
  <si>
    <t>Računalne usluge</t>
  </si>
  <si>
    <t>Ostale usluga</t>
  </si>
  <si>
    <t>Ostali nespomenuti rashodi poslovanja</t>
  </si>
  <si>
    <t>Premije osiguranja</t>
  </si>
  <si>
    <t>Reprezentacija</t>
  </si>
  <si>
    <t>Članarine i norme</t>
  </si>
  <si>
    <t>Nematerijalna imovina</t>
  </si>
  <si>
    <t>Licence</t>
  </si>
  <si>
    <t>Rashodi za nabavu proizvedene dugotrajne imovine</t>
  </si>
  <si>
    <t>Postrojenja i oprema</t>
  </si>
  <si>
    <t>Uredska oprema i namještaj</t>
  </si>
  <si>
    <t>Oprema za održavanje i zaštitu</t>
  </si>
  <si>
    <t>Instrumenti, uređaji i strojevi</t>
  </si>
  <si>
    <t>Uređaji, strojevi i oprema za ostale namjene</t>
  </si>
  <si>
    <t>Knjige, umjetnička djela i ostale izložbene vrijednosti</t>
  </si>
  <si>
    <t>Knjige</t>
  </si>
  <si>
    <t>Rashodi za nabavu plemenitih metala i ostalih pohranjenih vrijednosti</t>
  </si>
  <si>
    <t>Plemeniti metali i ostale pohranjene vrijednosti</t>
  </si>
  <si>
    <t>Pohranjene knjige, umjetnička djela</t>
  </si>
  <si>
    <t>Rashodi za dodatna ulaganja na enfinancijskoj imovini</t>
  </si>
  <si>
    <t>Dodatna ulaganja na građevinskim objektima</t>
  </si>
  <si>
    <t>A78300018</t>
  </si>
  <si>
    <t>Administracija i upravljanje</t>
  </si>
  <si>
    <t>Plaće</t>
  </si>
  <si>
    <t>Plaće za prekovremeni rad</t>
  </si>
  <si>
    <t>Plaće za posebne uvjete rada</t>
  </si>
  <si>
    <t>Ostali rashodi za zaposlene</t>
  </si>
  <si>
    <t>Doprinosi na plaće</t>
  </si>
  <si>
    <t>Doprinosi za obvezno zdravstveno osiguranje</t>
  </si>
  <si>
    <t>Naknade za prijevoz</t>
  </si>
  <si>
    <t>Energija</t>
  </si>
  <si>
    <t>Komunalne usluge</t>
  </si>
  <si>
    <t>Zdravstvene i veterinarske usluge</t>
  </si>
  <si>
    <t>Ostale usluge</t>
  </si>
  <si>
    <t>Naknade za rad predstavničkih tijela</t>
  </si>
  <si>
    <t>Pristojbe i naknade</t>
  </si>
  <si>
    <t>Troškovi sudskih postupaka</t>
  </si>
  <si>
    <t>Financijski rashodi</t>
  </si>
  <si>
    <t>Ostali financijski rashodi</t>
  </si>
  <si>
    <t>Bankarske usluge i usluge platnog prometa</t>
  </si>
  <si>
    <t>Zatezne kamate</t>
  </si>
  <si>
    <t>Vlastiti prihodi</t>
  </si>
  <si>
    <t>A78300118</t>
  </si>
  <si>
    <t>Plaće u naravi</t>
  </si>
  <si>
    <t>Ostale naknade troškova zaposlenima</t>
  </si>
  <si>
    <t>Naknade troškova osobama izvan radnog odnosa</t>
  </si>
  <si>
    <t>Naknade troškova zaposlenima izvan radnog odnosa</t>
  </si>
  <si>
    <t>Negativne tečajne razlike</t>
  </si>
  <si>
    <t>Ostali nespomenuti financijski rashodi</t>
  </si>
  <si>
    <t>Naknade građanim i kućanstvima na temelju osiguranja i druge naknade</t>
  </si>
  <si>
    <t>Ostale naknade građanima i kućanstvima iz proračuna</t>
  </si>
  <si>
    <t>Naknade građanima i kućanstvima iz proračuna</t>
  </si>
  <si>
    <t>Komunikacijska oprema</t>
  </si>
  <si>
    <t>Nematerijalna proizvedena imovina</t>
  </si>
  <si>
    <t>Ulaganja u računalne programe</t>
  </si>
  <si>
    <t>Dodatna ulaganja na postrojenjima i opremi</t>
  </si>
  <si>
    <t>Ostali prihodi za posebne namjene</t>
  </si>
  <si>
    <t>Ostale pomoći i darovnice</t>
  </si>
  <si>
    <t>A56502918</t>
  </si>
  <si>
    <t>Pomoći gradova i županija</t>
  </si>
  <si>
    <t>Ostali programi EU</t>
  </si>
  <si>
    <t>A78300218</t>
  </si>
  <si>
    <t>Fond solidarnosti Europske unije</t>
  </si>
  <si>
    <t>Donacije</t>
  </si>
  <si>
    <t>Prihodi od prodaje postrojenja i opreme</t>
  </si>
  <si>
    <t>Prihodi od prodaje ili zamjene nefinancijske imovine i naknade sa naslova osiguranja</t>
  </si>
  <si>
    <t>71 Prihodi od prodaje ili zamjene nefinancijske imovine i naknade sa naslova osiguranja</t>
  </si>
  <si>
    <t>7 Prihodi od prodaje ili zamjene nefinancijske imovine i naknade sa naslova osiguranja</t>
  </si>
  <si>
    <t>Pomoći od međunarodnih organizacija te institucija i tijela EU</t>
  </si>
  <si>
    <t>Tekuće pomoći od institucija i tijela EU</t>
  </si>
  <si>
    <t>Kapitalne pomoći od institucija i tijela EU</t>
  </si>
  <si>
    <t>Pomoći od izvanproračunskih korisnika</t>
  </si>
  <si>
    <t>Tekuće pomoći od izvanproračunskih korisnika</t>
  </si>
  <si>
    <t>Pomoći temeljem EU sredstava</t>
  </si>
  <si>
    <t>Tekuće pomoći temeljem EU sredstava</t>
  </si>
  <si>
    <t>Prijenosi između proračunskih korisnika istog proračuna</t>
  </si>
  <si>
    <t>Tekući prijenosi između proračunskih korisnika istog proračuna</t>
  </si>
  <si>
    <t>Kapitalni prijenosi između proračunskih korisnika istog proračuna</t>
  </si>
  <si>
    <t>Tekući prijenosi između proračunskih korisnika istog proračuna temeljem prijenosa EU sredstava</t>
  </si>
  <si>
    <t>Prihodi od financijske imovine</t>
  </si>
  <si>
    <t>Kamate na oročena sredstva i depozite po viđenju</t>
  </si>
  <si>
    <t>Prihodi od pozitivnih tečajnih razlika i razlika zbog primjene val.kl.</t>
  </si>
  <si>
    <t>Prihodi po posebnim propisima</t>
  </si>
  <si>
    <t>Ostali nespomenuti prihodi</t>
  </si>
  <si>
    <t>Prihodi od pruženih usluga</t>
  </si>
  <si>
    <t>Donacije od pravnih i fizičkih osoba izvan općeg proračuna i povrat donacija po protestiranim jamstvima</t>
  </si>
  <si>
    <t>Kapitalne donacije</t>
  </si>
  <si>
    <t>Prihodi iz nadležnog proračunaza financiranje redovne djelatnosti proračunskih korisnika</t>
  </si>
  <si>
    <t>Prihodi iz nadležnog proračuna za financiranje rashoda poslovanja</t>
  </si>
  <si>
    <t>Ostali prihodi</t>
  </si>
  <si>
    <t>Pomoći proračunskim korisnicima iz proračuna koji im nije nadležan</t>
  </si>
  <si>
    <t>Tekuće pomoći proračunskim korisnicima iz proračuna koji im nije nadležan</t>
  </si>
  <si>
    <t>Prihodi od imovine</t>
  </si>
  <si>
    <t>Prihodi od upravnih i administrativnih pristojbi, pristojbi po posebnim propisima i naknada</t>
  </si>
  <si>
    <t>Tekuće donacije</t>
  </si>
  <si>
    <t>Prihodi iz nadležnog proračuna i od HZZO-a temeljem ugovornih obveza</t>
  </si>
  <si>
    <t>Prihodi iz nadležnog proračuna za financiranje rashoda za nabavu nefinancijske imovine</t>
  </si>
  <si>
    <t>Kzane, upravne mjere i ostali prihodi</t>
  </si>
  <si>
    <t>Naknade za prijevoz, za rad na terenu i odvojeni život</t>
  </si>
  <si>
    <t>Stručno usavršavanje zaposlenika</t>
  </si>
  <si>
    <t>Uredski materijal i ostali materijalni rashodi</t>
  </si>
  <si>
    <t>Službena, radna i zaštitna odjeća i obuća</t>
  </si>
  <si>
    <t>Negativne tečajne razlike i razlike zbog primjene valutne klauzule</t>
  </si>
  <si>
    <t>Naknade građanima i kućanstvima u novcu</t>
  </si>
  <si>
    <t>Naknade građanima i kućanstvima na temelju osiguranja i druge naknade</t>
  </si>
  <si>
    <t>Ostali rashodi</t>
  </si>
  <si>
    <t>Kazne,penali i naknade štete</t>
  </si>
  <si>
    <t>Ostale kazne</t>
  </si>
  <si>
    <t>Instrumenti, uređaji, strojevi</t>
  </si>
  <si>
    <t>Pohranjene knjige, umjetnička djela i slične vrijednosti</t>
  </si>
  <si>
    <t>Prijevozna sredstva</t>
  </si>
  <si>
    <t>Prijevozna sredstva u cestovnom prometu</t>
  </si>
  <si>
    <t>Rashodi za dodatna ulaganja na nefinancijskoj imovini</t>
  </si>
  <si>
    <t>Doprinosi za obvezno osiguranje u slučaju nezaposlenosti</t>
  </si>
  <si>
    <t>Pomoći EU</t>
  </si>
  <si>
    <t>51 Pomoći EU</t>
  </si>
  <si>
    <t>IZVRŠENJE FINANCIJSKOG PLANA PRORAČUNSKOG KORISNIKA DRŽAVNOG PRORAČUNA
ZA 2023. GODINU</t>
  </si>
  <si>
    <t>OSTVARENJE/IZVRŠENJE 
2022.</t>
  </si>
  <si>
    <t>TEKUĆI PLAN 2023.*</t>
  </si>
  <si>
    <t>OSTVARENJE/IZVRŠENJE 
2023.</t>
  </si>
  <si>
    <t>IZVORNI PLAN ILI REBALANS 2023.</t>
  </si>
  <si>
    <t>TEKUĆI PLAN 2023.</t>
  </si>
  <si>
    <t xml:space="preserve">OSTVARENJE/IZVRŠENJE 
2022. </t>
  </si>
  <si>
    <t xml:space="preserve">OSTVARENJE/IZVRŠENJE 
2023. </t>
  </si>
  <si>
    <t xml:space="preserve"> IZVRŠENJE 
2022.</t>
  </si>
  <si>
    <t xml:space="preserve"> IZVRŠENJE 
2023.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</si>
</sst>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4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b/>
      <sz val="12"/>
      <color indexed="8"/>
      <name val="Arial"/>
      <family val="2"/>
      <charset val="238"/>
    </font>
    <font>
      <b/>
      <sz val="10"/>
      <color indexed="8"/>
      <name val="Arial"/>
      <family val="2"/>
      <charset val="238"/>
    </font>
    <font>
      <sz val="10"/>
      <name val="Arial"/>
      <family val="2"/>
      <charset val="238"/>
    </font>
    <font>
      <i/>
      <sz val="10"/>
      <name val="Arial"/>
      <family val="2"/>
      <charset val="238"/>
    </font>
    <font>
      <b/>
      <sz val="10"/>
      <name val="Arial"/>
      <family val="2"/>
      <charset val="238"/>
    </font>
    <font>
      <sz val="12"/>
      <color indexed="8"/>
      <name val="Arial"/>
      <family val="2"/>
      <charset val="238"/>
    </font>
    <font>
      <sz val="12"/>
      <color theme="1"/>
      <name val="Calibri"/>
      <family val="2"/>
      <charset val="238"/>
      <scheme val="minor"/>
    </font>
    <font>
      <sz val="11"/>
      <color theme="1"/>
      <name val="Times New Roman"/>
      <family val="1"/>
    </font>
    <font>
      <b/>
      <sz val="10"/>
      <color rgb="FFFF0000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b/>
      <sz val="8"/>
      <color indexed="8"/>
      <name val="Arial"/>
      <family val="2"/>
      <charset val="238"/>
    </font>
    <font>
      <b/>
      <sz val="11"/>
      <name val="Times New Roman"/>
      <family val="1"/>
    </font>
    <font>
      <b/>
      <sz val="12"/>
      <color theme="1"/>
      <name val="Arial"/>
      <family val="2"/>
      <charset val="238"/>
    </font>
    <font>
      <sz val="8"/>
      <color theme="1"/>
      <name val="Calibri"/>
      <family val="2"/>
      <charset val="238"/>
      <scheme val="minor"/>
    </font>
    <font>
      <sz val="10"/>
      <color rgb="FF000000"/>
      <name val="Arial"/>
      <family val="2"/>
      <charset val="238"/>
    </font>
    <font>
      <b/>
      <sz val="11"/>
      <color indexed="8"/>
      <name val="Arial"/>
      <family val="2"/>
      <charset val="238"/>
    </font>
    <font>
      <b/>
      <sz val="11"/>
      <color rgb="FF000000"/>
      <name val="Arial"/>
      <family val="2"/>
      <charset val="238"/>
    </font>
    <font>
      <b/>
      <sz val="10"/>
      <color rgb="FF000000"/>
      <name val="Arial"/>
      <family val="2"/>
      <charset val="238"/>
    </font>
    <font>
      <i/>
      <sz val="11"/>
      <color theme="1"/>
      <name val="Arial"/>
      <family val="2"/>
      <charset val="238"/>
    </font>
    <font>
      <sz val="11"/>
      <color theme="1"/>
      <name val="Arial"/>
      <family val="2"/>
      <charset val="238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154">
    <xf numFmtId="0" fontId="0" fillId="0" borderId="0" xfId="0"/>
    <xf numFmtId="0" fontId="3" fillId="0" borderId="0" xfId="0" applyNumberFormat="1" applyFont="1" applyFill="1" applyBorder="1" applyAlignment="1" applyProtection="1"/>
    <xf numFmtId="0" fontId="5" fillId="2" borderId="3" xfId="0" applyNumberFormat="1" applyFont="1" applyFill="1" applyBorder="1" applyAlignment="1" applyProtection="1">
      <alignment horizontal="center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3" fillId="0" borderId="0" xfId="0" applyNumberFormat="1" applyFont="1" applyFill="1" applyBorder="1" applyAlignment="1" applyProtection="1">
      <alignment vertical="center" wrapText="1"/>
    </xf>
    <xf numFmtId="3" fontId="3" fillId="2" borderId="3" xfId="0" applyNumberFormat="1" applyFont="1" applyFill="1" applyBorder="1" applyAlignment="1">
      <alignment horizontal="right"/>
    </xf>
    <xf numFmtId="3" fontId="3" fillId="2" borderId="3" xfId="0" applyNumberFormat="1" applyFont="1" applyFill="1" applyBorder="1" applyAlignment="1" applyProtection="1">
      <alignment horizontal="right" wrapText="1"/>
    </xf>
    <xf numFmtId="0" fontId="8" fillId="2" borderId="3" xfId="0" applyNumberFormat="1" applyFont="1" applyFill="1" applyBorder="1" applyAlignment="1" applyProtection="1">
      <alignment horizontal="left" vertical="center" wrapText="1"/>
    </xf>
    <xf numFmtId="0" fontId="6" fillId="2" borderId="3" xfId="0" quotePrefix="1" applyFont="1" applyFill="1" applyBorder="1" applyAlignment="1">
      <alignment horizontal="left" vertical="center"/>
    </xf>
    <xf numFmtId="0" fontId="7" fillId="2" borderId="3" xfId="0" quotePrefix="1" applyFont="1" applyFill="1" applyBorder="1" applyAlignment="1">
      <alignment horizontal="left" vertical="center"/>
    </xf>
    <xf numFmtId="0" fontId="8" fillId="2" borderId="3" xfId="0" applyFont="1" applyFill="1" applyBorder="1" applyAlignment="1">
      <alignment horizontal="left" vertical="center"/>
    </xf>
    <xf numFmtId="0" fontId="8" fillId="2" borderId="3" xfId="0" applyNumberFormat="1" applyFont="1" applyFill="1" applyBorder="1" applyAlignment="1" applyProtection="1">
      <alignment horizontal="left" vertical="center"/>
    </xf>
    <xf numFmtId="0" fontId="6" fillId="2" borderId="3" xfId="0" applyNumberFormat="1" applyFont="1" applyFill="1" applyBorder="1" applyAlignment="1" applyProtection="1">
      <alignment horizontal="left" vertical="center" wrapText="1"/>
    </xf>
    <xf numFmtId="0" fontId="6" fillId="2" borderId="3" xfId="0" applyFont="1" applyFill="1" applyBorder="1" applyAlignment="1">
      <alignment horizontal="left" vertical="center"/>
    </xf>
    <xf numFmtId="0" fontId="7" fillId="2" borderId="3" xfId="0" quotePrefix="1" applyFont="1" applyFill="1" applyBorder="1" applyAlignment="1">
      <alignment horizontal="left" vertical="center" wrapText="1"/>
    </xf>
    <xf numFmtId="0" fontId="2" fillId="0" borderId="0" xfId="0" applyNumberFormat="1" applyFont="1" applyFill="1" applyBorder="1" applyAlignment="1" applyProtection="1">
      <alignment horizontal="center" vertical="center" wrapText="1"/>
    </xf>
    <xf numFmtId="0" fontId="8" fillId="2" borderId="3" xfId="0" applyNumberFormat="1" applyFont="1" applyFill="1" applyBorder="1" applyAlignment="1" applyProtection="1">
      <alignment vertical="center" wrapText="1"/>
    </xf>
    <xf numFmtId="0" fontId="6" fillId="2" borderId="3" xfId="0" applyNumberFormat="1" applyFont="1" applyFill="1" applyBorder="1" applyAlignment="1" applyProtection="1">
      <alignment vertical="center" wrapText="1"/>
    </xf>
    <xf numFmtId="0" fontId="8" fillId="2" borderId="3" xfId="0" quotePrefix="1" applyFont="1" applyFill="1" applyBorder="1" applyAlignment="1">
      <alignment horizontal="left" vertical="center"/>
    </xf>
    <xf numFmtId="0" fontId="8" fillId="3" borderId="1" xfId="0" applyFont="1" applyFill="1" applyBorder="1" applyAlignment="1">
      <alignment horizontal="left" vertical="center"/>
    </xf>
    <xf numFmtId="0" fontId="7" fillId="2" borderId="3" xfId="0" quotePrefix="1" applyFont="1" applyFill="1" applyBorder="1" applyAlignment="1">
      <alignment horizontal="left" vertical="center" wrapText="1" indent="1"/>
    </xf>
    <xf numFmtId="0" fontId="7" fillId="2" borderId="3" xfId="0" applyFont="1" applyFill="1" applyBorder="1" applyAlignment="1">
      <alignment horizontal="left" vertical="center" indent="1"/>
    </xf>
    <xf numFmtId="0" fontId="7" fillId="2" borderId="3" xfId="0" applyNumberFormat="1" applyFont="1" applyFill="1" applyBorder="1" applyAlignment="1" applyProtection="1">
      <alignment horizontal="left" vertical="center" wrapText="1" indent="1"/>
    </xf>
    <xf numFmtId="0" fontId="6" fillId="2" borderId="3" xfId="0" quotePrefix="1" applyFont="1" applyFill="1" applyBorder="1" applyAlignment="1">
      <alignment horizontal="left" vertical="center" wrapText="1"/>
    </xf>
    <xf numFmtId="0" fontId="10" fillId="0" borderId="0" xfId="0" applyFont="1" applyAlignment="1">
      <alignment wrapText="1"/>
    </xf>
    <xf numFmtId="0" fontId="9" fillId="0" borderId="0" xfId="0" applyNumberFormat="1" applyFont="1" applyFill="1" applyBorder="1" applyAlignment="1" applyProtection="1">
      <alignment vertical="center" wrapText="1"/>
    </xf>
    <xf numFmtId="0" fontId="4" fillId="0" borderId="0" xfId="0" applyNumberFormat="1" applyFont="1" applyFill="1" applyBorder="1" applyAlignment="1" applyProtection="1">
      <alignment vertical="center" wrapText="1"/>
    </xf>
    <xf numFmtId="0" fontId="5" fillId="0" borderId="3" xfId="0" quotePrefix="1" applyNumberFormat="1" applyFont="1" applyFill="1" applyBorder="1" applyAlignment="1" applyProtection="1">
      <alignment horizontal="center" vertical="center" wrapText="1"/>
    </xf>
    <xf numFmtId="0" fontId="0" fillId="0" borderId="3" xfId="0" applyBorder="1"/>
    <xf numFmtId="0" fontId="11" fillId="0" borderId="0" xfId="0" applyFont="1" applyAlignment="1">
      <alignment horizontal="center" vertical="center" wrapText="1"/>
    </xf>
    <xf numFmtId="0" fontId="13" fillId="0" borderId="0" xfId="0" applyFont="1" applyAlignment="1">
      <alignment vertical="top" wrapText="1"/>
    </xf>
    <xf numFmtId="0" fontId="14" fillId="2" borderId="3" xfId="0" applyNumberFormat="1" applyFont="1" applyFill="1" applyBorder="1" applyAlignment="1" applyProtection="1">
      <alignment horizontal="center" vertical="center" wrapText="1"/>
    </xf>
    <xf numFmtId="0" fontId="14" fillId="0" borderId="3" xfId="0" quotePrefix="1" applyNumberFormat="1" applyFont="1" applyFill="1" applyBorder="1" applyAlignment="1" applyProtection="1">
      <alignment horizontal="center" vertical="center" wrapText="1"/>
    </xf>
    <xf numFmtId="0" fontId="14" fillId="0" borderId="3" xfId="0" quotePrefix="1" applyNumberFormat="1" applyFont="1" applyFill="1" applyBorder="1" applyAlignment="1" applyProtection="1">
      <alignment horizontal="center" vertical="center"/>
    </xf>
    <xf numFmtId="0" fontId="11" fillId="0" borderId="0" xfId="0" applyFont="1" applyAlignment="1">
      <alignment horizontal="center" vertical="center" wrapText="1"/>
    </xf>
    <xf numFmtId="0" fontId="5" fillId="3" borderId="3" xfId="0" applyNumberFormat="1" applyFont="1" applyFill="1" applyBorder="1" applyAlignment="1" applyProtection="1">
      <alignment horizontal="center" vertical="center" wrapText="1"/>
    </xf>
    <xf numFmtId="0" fontId="0" fillId="3" borderId="0" xfId="0" applyFill="1"/>
    <xf numFmtId="0" fontId="14" fillId="3" borderId="3" xfId="0" applyNumberFormat="1" applyFont="1" applyFill="1" applyBorder="1" applyAlignment="1" applyProtection="1">
      <alignment horizontal="center" vertical="center" wrapText="1"/>
    </xf>
    <xf numFmtId="0" fontId="5" fillId="3" borderId="4" xfId="0" applyNumberFormat="1" applyFont="1" applyFill="1" applyBorder="1" applyAlignment="1" applyProtection="1">
      <alignment horizontal="center" vertical="center" wrapText="1"/>
    </xf>
    <xf numFmtId="0" fontId="14" fillId="3" borderId="4" xfId="0" applyNumberFormat="1" applyFont="1" applyFill="1" applyBorder="1" applyAlignment="1" applyProtection="1">
      <alignment horizontal="center" vertical="center" wrapText="1"/>
    </xf>
    <xf numFmtId="0" fontId="17" fillId="0" borderId="0" xfId="0" applyFont="1"/>
    <xf numFmtId="0" fontId="1" fillId="0" borderId="0" xfId="0" applyFont="1" applyAlignment="1">
      <alignment vertical="top" wrapText="1"/>
    </xf>
    <xf numFmtId="0" fontId="18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/>
    </xf>
    <xf numFmtId="0" fontId="0" fillId="3" borderId="0" xfId="0" applyFill="1" applyAlignment="1">
      <alignment horizontal="left"/>
    </xf>
    <xf numFmtId="0" fontId="6" fillId="3" borderId="2" xfId="0" applyNumberFormat="1" applyFont="1" applyFill="1" applyBorder="1" applyAlignment="1" applyProtection="1">
      <alignment vertical="center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2" fillId="2" borderId="5" xfId="0" applyFont="1" applyFill="1" applyBorder="1" applyAlignment="1">
      <alignment horizontal="right" vertical="center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3" fillId="2" borderId="0" xfId="0" applyNumberFormat="1" applyFont="1" applyFill="1" applyBorder="1" applyAlignment="1" applyProtection="1">
      <alignment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3" fillId="2" borderId="1" xfId="0" applyNumberFormat="1" applyFont="1" applyFill="1" applyBorder="1" applyAlignment="1" applyProtection="1">
      <alignment horizontal="left" vertical="center" wrapText="1"/>
    </xf>
    <xf numFmtId="0" fontId="3" fillId="2" borderId="2" xfId="0" applyNumberFormat="1" applyFont="1" applyFill="1" applyBorder="1" applyAlignment="1" applyProtection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left" vertical="center" wrapText="1"/>
    </xf>
    <xf numFmtId="4" fontId="5" fillId="0" borderId="3" xfId="0" applyNumberFormat="1" applyFont="1" applyFill="1" applyBorder="1" applyAlignment="1">
      <alignment horizontal="right"/>
    </xf>
    <xf numFmtId="4" fontId="5" fillId="3" borderId="3" xfId="0" applyNumberFormat="1" applyFont="1" applyFill="1" applyBorder="1" applyAlignment="1">
      <alignment horizontal="right"/>
    </xf>
    <xf numFmtId="4" fontId="0" fillId="0" borderId="0" xfId="0" applyNumberFormat="1"/>
    <xf numFmtId="4" fontId="6" fillId="0" borderId="3" xfId="0" applyNumberFormat="1" applyFont="1" applyFill="1" applyBorder="1" applyAlignment="1" applyProtection="1">
      <alignment vertical="center"/>
    </xf>
    <xf numFmtId="4" fontId="6" fillId="3" borderId="3" xfId="0" applyNumberFormat="1" applyFont="1" applyFill="1" applyBorder="1" applyAlignment="1" applyProtection="1">
      <alignment vertical="center"/>
    </xf>
    <xf numFmtId="4" fontId="6" fillId="0" borderId="3" xfId="0" applyNumberFormat="1" applyFont="1" applyFill="1" applyBorder="1" applyAlignment="1" applyProtection="1">
      <alignment vertical="center" wrapText="1"/>
    </xf>
    <xf numFmtId="4" fontId="5" fillId="0" borderId="3" xfId="0" applyNumberFormat="1" applyFont="1" applyBorder="1" applyAlignment="1">
      <alignment horizontal="right"/>
    </xf>
    <xf numFmtId="4" fontId="5" fillId="3" borderId="3" xfId="0" applyNumberFormat="1" applyFont="1" applyFill="1" applyBorder="1" applyAlignment="1" applyProtection="1">
      <alignment horizontal="right" wrapText="1"/>
    </xf>
    <xf numFmtId="4" fontId="8" fillId="0" borderId="3" xfId="0" applyNumberFormat="1" applyFont="1" applyFill="1" applyBorder="1" applyAlignment="1" applyProtection="1">
      <alignment horizontal="left" vertical="center" wrapText="1"/>
    </xf>
    <xf numFmtId="4" fontId="5" fillId="3" borderId="3" xfId="0" quotePrefix="1" applyNumberFormat="1" applyFont="1" applyFill="1" applyBorder="1" applyAlignment="1">
      <alignment horizontal="left" wrapText="1"/>
    </xf>
    <xf numFmtId="4" fontId="5" fillId="3" borderId="3" xfId="0" applyNumberFormat="1" applyFont="1" applyFill="1" applyBorder="1" applyAlignment="1" applyProtection="1">
      <alignment horizontal="center" vertical="center" wrapText="1"/>
    </xf>
    <xf numFmtId="4" fontId="5" fillId="3" borderId="3" xfId="0" applyNumberFormat="1" applyFont="1" applyFill="1" applyBorder="1" applyAlignment="1" applyProtection="1">
      <alignment horizontal="left" vertical="center" wrapText="1"/>
    </xf>
    <xf numFmtId="4" fontId="4" fillId="3" borderId="3" xfId="0" applyNumberFormat="1" applyFont="1" applyFill="1" applyBorder="1" applyAlignment="1">
      <alignment horizontal="right"/>
    </xf>
    <xf numFmtId="0" fontId="6" fillId="0" borderId="3" xfId="0" quotePrefix="1" applyFont="1" applyFill="1" applyBorder="1" applyAlignment="1">
      <alignment horizontal="left" vertical="center"/>
    </xf>
    <xf numFmtId="4" fontId="3" fillId="2" borderId="3" xfId="0" applyNumberFormat="1" applyFont="1" applyFill="1" applyBorder="1" applyAlignment="1">
      <alignment horizontal="right"/>
    </xf>
    <xf numFmtId="4" fontId="5" fillId="2" borderId="3" xfId="0" applyNumberFormat="1" applyFont="1" applyFill="1" applyBorder="1" applyAlignment="1"/>
    <xf numFmtId="4" fontId="0" fillId="0" borderId="3" xfId="0" applyNumberFormat="1" applyBorder="1"/>
    <xf numFmtId="4" fontId="15" fillId="2" borderId="3" xfId="0" applyNumberFormat="1" applyFont="1" applyFill="1" applyBorder="1" applyAlignment="1" applyProtection="1">
      <alignment vertical="center" wrapText="1"/>
    </xf>
    <xf numFmtId="4" fontId="3" fillId="2" borderId="3" xfId="0" applyNumberFormat="1" applyFont="1" applyFill="1" applyBorder="1" applyAlignment="1" applyProtection="1">
      <alignment horizontal="right" wrapText="1"/>
    </xf>
    <xf numFmtId="4" fontId="5" fillId="2" borderId="3" xfId="0" applyNumberFormat="1" applyFont="1" applyFill="1" applyBorder="1" applyAlignment="1">
      <alignment horizontal="right"/>
    </xf>
    <xf numFmtId="0" fontId="20" fillId="0" borderId="3" xfId="0" applyFont="1" applyBorder="1" applyAlignment="1">
      <alignment horizontal="left" vertical="center" wrapText="1"/>
    </xf>
    <xf numFmtId="0" fontId="5" fillId="2" borderId="1" xfId="0" applyNumberFormat="1" applyFont="1" applyFill="1" applyBorder="1" applyAlignment="1" applyProtection="1">
      <alignment horizontal="left" vertical="center" wrapText="1"/>
    </xf>
    <xf numFmtId="0" fontId="5" fillId="2" borderId="2" xfId="0" applyNumberFormat="1" applyFont="1" applyFill="1" applyBorder="1" applyAlignment="1" applyProtection="1">
      <alignment horizontal="left" vertical="center" wrapText="1"/>
    </xf>
    <xf numFmtId="0" fontId="5" fillId="2" borderId="4" xfId="0" applyNumberFormat="1" applyFont="1" applyFill="1" applyBorder="1" applyAlignment="1" applyProtection="1">
      <alignment horizontal="left" vertical="center" wrapText="1"/>
    </xf>
    <xf numFmtId="0" fontId="21" fillId="0" borderId="3" xfId="0" applyFont="1" applyBorder="1" applyAlignment="1">
      <alignment horizontal="left" vertical="center" wrapText="1"/>
    </xf>
    <xf numFmtId="0" fontId="3" fillId="2" borderId="4" xfId="0" applyNumberFormat="1" applyFont="1" applyFill="1" applyBorder="1" applyAlignment="1" applyProtection="1">
      <alignment horizontal="center" vertical="center" wrapText="1"/>
    </xf>
    <xf numFmtId="0" fontId="3" fillId="2" borderId="4" xfId="0" applyNumberFormat="1" applyFont="1" applyFill="1" applyBorder="1" applyAlignment="1" applyProtection="1">
      <alignment horizontal="right" vertical="center" wrapText="1"/>
    </xf>
    <xf numFmtId="0" fontId="19" fillId="2" borderId="1" xfId="0" applyNumberFormat="1" applyFont="1" applyFill="1" applyBorder="1" applyAlignment="1" applyProtection="1">
      <alignment horizontal="left" vertical="center" wrapText="1"/>
    </xf>
    <xf numFmtId="4" fontId="1" fillId="0" borderId="3" xfId="0" applyNumberFormat="1" applyFont="1" applyBorder="1" applyAlignment="1">
      <alignment vertical="top" wrapText="1"/>
    </xf>
    <xf numFmtId="0" fontId="19" fillId="2" borderId="1" xfId="0" applyNumberFormat="1" applyFont="1" applyFill="1" applyBorder="1" applyAlignment="1" applyProtection="1">
      <alignment horizontal="left" vertical="center" wrapText="1"/>
    </xf>
    <xf numFmtId="0" fontId="19" fillId="2" borderId="2" xfId="0" applyNumberFormat="1" applyFont="1" applyFill="1" applyBorder="1" applyAlignment="1" applyProtection="1">
      <alignment horizontal="left" vertical="center" wrapText="1"/>
    </xf>
    <xf numFmtId="4" fontId="0" fillId="0" borderId="3" xfId="0" applyNumberFormat="1" applyFont="1" applyBorder="1" applyAlignment="1">
      <alignment vertical="top" wrapText="1"/>
    </xf>
    <xf numFmtId="0" fontId="3" fillId="2" borderId="1" xfId="0" applyNumberFormat="1" applyFont="1" applyFill="1" applyBorder="1" applyAlignment="1" applyProtection="1">
      <alignment horizontal="right" vertical="center" wrapText="1"/>
    </xf>
    <xf numFmtId="0" fontId="3" fillId="2" borderId="2" xfId="0" applyNumberFormat="1" applyFont="1" applyFill="1" applyBorder="1" applyAlignment="1" applyProtection="1">
      <alignment horizontal="right" vertical="center" wrapText="1"/>
    </xf>
    <xf numFmtId="0" fontId="19" fillId="2" borderId="1" xfId="0" applyNumberFormat="1" applyFont="1" applyFill="1" applyBorder="1" applyAlignment="1" applyProtection="1">
      <alignment horizontal="left" vertical="center" wrapText="1"/>
    </xf>
    <xf numFmtId="0" fontId="19" fillId="2" borderId="2" xfId="0" applyNumberFormat="1" applyFont="1" applyFill="1" applyBorder="1" applyAlignment="1" applyProtection="1">
      <alignment horizontal="left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2" fillId="2" borderId="4" xfId="0" applyNumberFormat="1" applyFont="1" applyFill="1" applyBorder="1" applyAlignment="1" applyProtection="1">
      <alignment horizontal="left" vertical="center" wrapText="1"/>
    </xf>
    <xf numFmtId="4" fontId="0" fillId="0" borderId="3" xfId="0" applyNumberFormat="1" applyFill="1" applyBorder="1"/>
    <xf numFmtId="4" fontId="3" fillId="0" borderId="3" xfId="0" applyNumberFormat="1" applyFont="1" applyFill="1" applyBorder="1" applyAlignment="1">
      <alignment horizontal="right"/>
    </xf>
    <xf numFmtId="4" fontId="3" fillId="0" borderId="0" xfId="0" applyNumberFormat="1" applyFont="1" applyFill="1" applyBorder="1" applyAlignment="1" applyProtection="1"/>
    <xf numFmtId="0" fontId="0" fillId="0" borderId="0" xfId="0" applyFill="1"/>
    <xf numFmtId="0" fontId="6" fillId="0" borderId="3" xfId="0" applyNumberFormat="1" applyFont="1" applyFill="1" applyBorder="1" applyAlignment="1" applyProtection="1">
      <alignment horizontal="left" vertical="center" wrapText="1"/>
    </xf>
    <xf numFmtId="4" fontId="5" fillId="3" borderId="3" xfId="0" applyNumberFormat="1" applyFont="1" applyFill="1" applyBorder="1" applyAlignment="1" applyProtection="1">
      <alignment horizontal="right" vertical="center" wrapText="1"/>
    </xf>
    <xf numFmtId="0" fontId="22" fillId="0" borderId="3" xfId="0" applyFont="1" applyBorder="1" applyAlignment="1">
      <alignment wrapText="1"/>
    </xf>
    <xf numFmtId="0" fontId="23" fillId="0" borderId="3" xfId="0" applyFont="1" applyFill="1" applyBorder="1" applyAlignment="1">
      <alignment wrapText="1"/>
    </xf>
    <xf numFmtId="0" fontId="0" fillId="0" borderId="0" xfId="0" applyAlignment="1">
      <alignment wrapText="1"/>
    </xf>
    <xf numFmtId="0" fontId="23" fillId="0" borderId="3" xfId="0" applyFont="1" applyBorder="1"/>
    <xf numFmtId="0" fontId="22" fillId="0" borderId="3" xfId="0" applyFont="1" applyBorder="1"/>
    <xf numFmtId="0" fontId="22" fillId="0" borderId="3" xfId="0" applyFont="1" applyBorder="1" applyAlignment="1">
      <alignment horizontal="left"/>
    </xf>
    <xf numFmtId="4" fontId="3" fillId="2" borderId="4" xfId="0" applyNumberFormat="1" applyFont="1" applyFill="1" applyBorder="1" applyAlignment="1">
      <alignment horizontal="right"/>
    </xf>
    <xf numFmtId="0" fontId="0" fillId="0" borderId="0" xfId="0" applyBorder="1" applyAlignment="1">
      <alignment wrapText="1"/>
    </xf>
    <xf numFmtId="4" fontId="1" fillId="0" borderId="3" xfId="0" applyNumberFormat="1" applyFont="1" applyBorder="1"/>
    <xf numFmtId="0" fontId="5" fillId="2" borderId="4" xfId="0" applyNumberFormat="1" applyFont="1" applyFill="1" applyBorder="1" applyAlignment="1" applyProtection="1">
      <alignment horizontal="right" vertical="center" wrapText="1"/>
    </xf>
    <xf numFmtId="0" fontId="1" fillId="0" borderId="3" xfId="0" applyFont="1" applyBorder="1" applyAlignment="1">
      <alignment wrapText="1"/>
    </xf>
    <xf numFmtId="0" fontId="1" fillId="0" borderId="3" xfId="0" applyFont="1" applyBorder="1"/>
    <xf numFmtId="4" fontId="1" fillId="0" borderId="3" xfId="0" applyNumberFormat="1" applyFont="1" applyFill="1" applyBorder="1"/>
    <xf numFmtId="4" fontId="5" fillId="2" borderId="3" xfId="0" applyNumberFormat="1" applyFont="1" applyFill="1" applyBorder="1" applyAlignment="1" applyProtection="1">
      <alignment horizontal="right" wrapText="1"/>
    </xf>
    <xf numFmtId="0" fontId="8" fillId="0" borderId="0" xfId="0" applyNumberFormat="1" applyFont="1" applyFill="1" applyBorder="1" applyAlignment="1" applyProtection="1">
      <alignment horizontal="left" vertical="top" wrapText="1"/>
    </xf>
    <xf numFmtId="0" fontId="2" fillId="2" borderId="0" xfId="0" applyNumberFormat="1" applyFont="1" applyFill="1" applyBorder="1" applyAlignment="1" applyProtection="1">
      <alignment horizontal="center" vertical="center" wrapText="1"/>
    </xf>
    <xf numFmtId="0" fontId="4" fillId="2" borderId="0" xfId="0" applyNumberFormat="1" applyFont="1" applyFill="1" applyBorder="1" applyAlignment="1" applyProtection="1">
      <alignment horizontal="center" vertical="center" wrapText="1"/>
    </xf>
    <xf numFmtId="0" fontId="2" fillId="2" borderId="6" xfId="0" applyNumberFormat="1" applyFont="1" applyFill="1" applyBorder="1" applyAlignment="1" applyProtection="1">
      <alignment horizontal="center" vertical="center" wrapText="1"/>
    </xf>
    <xf numFmtId="0" fontId="5" fillId="3" borderId="1" xfId="0" quotePrefix="1" applyFont="1" applyFill="1" applyBorder="1" applyAlignment="1">
      <alignment horizontal="left" wrapText="1"/>
    </xf>
    <xf numFmtId="0" fontId="5" fillId="3" borderId="2" xfId="0" quotePrefix="1" applyFont="1" applyFill="1" applyBorder="1" applyAlignment="1">
      <alignment horizontal="left" wrapText="1"/>
    </xf>
    <xf numFmtId="0" fontId="5" fillId="3" borderId="4" xfId="0" quotePrefix="1" applyFont="1" applyFill="1" applyBorder="1" applyAlignment="1">
      <alignment horizontal="left" wrapText="1"/>
    </xf>
    <xf numFmtId="0" fontId="8" fillId="2" borderId="0" xfId="0" applyNumberFormat="1" applyFont="1" applyFill="1" applyBorder="1" applyAlignment="1" applyProtection="1">
      <alignment horizontal="left" vertical="center" wrapText="1"/>
    </xf>
    <xf numFmtId="0" fontId="8" fillId="0" borderId="1" xfId="0" applyNumberFormat="1" applyFont="1" applyFill="1" applyBorder="1" applyAlignment="1" applyProtection="1">
      <alignment horizontal="left" vertical="center" wrapText="1"/>
    </xf>
    <xf numFmtId="0" fontId="6" fillId="0" borderId="2" xfId="0" applyNumberFormat="1" applyFont="1" applyFill="1" applyBorder="1" applyAlignment="1" applyProtection="1">
      <alignment vertical="center" wrapText="1"/>
    </xf>
    <xf numFmtId="0" fontId="5" fillId="0" borderId="3" xfId="0" quotePrefix="1" applyFont="1" applyBorder="1" applyAlignment="1">
      <alignment horizontal="center" vertical="center" wrapText="1"/>
    </xf>
    <xf numFmtId="0" fontId="14" fillId="0" borderId="1" xfId="0" quotePrefix="1" applyFont="1" applyBorder="1" applyAlignment="1">
      <alignment horizontal="center" vertical="center" wrapText="1"/>
    </xf>
    <xf numFmtId="0" fontId="14" fillId="0" borderId="2" xfId="0" quotePrefix="1" applyFont="1" applyBorder="1" applyAlignment="1">
      <alignment horizontal="center" vertical="center" wrapText="1"/>
    </xf>
    <xf numFmtId="0" fontId="8" fillId="0" borderId="2" xfId="0" applyNumberFormat="1" applyFont="1" applyFill="1" applyBorder="1" applyAlignment="1" applyProtection="1">
      <alignment horizontal="left" vertical="center" wrapText="1"/>
    </xf>
    <xf numFmtId="0" fontId="1" fillId="0" borderId="0" xfId="0" applyFont="1" applyBorder="1" applyAlignment="1">
      <alignment horizontal="left" vertical="top" wrapText="1"/>
    </xf>
    <xf numFmtId="0" fontId="8" fillId="3" borderId="1" xfId="0" applyNumberFormat="1" applyFont="1" applyFill="1" applyBorder="1" applyAlignment="1" applyProtection="1">
      <alignment horizontal="left" vertical="center" wrapText="1"/>
    </xf>
    <xf numFmtId="0" fontId="6" fillId="3" borderId="2" xfId="0" applyNumberFormat="1" applyFont="1" applyFill="1" applyBorder="1" applyAlignment="1" applyProtection="1">
      <alignment vertical="center" wrapText="1"/>
    </xf>
    <xf numFmtId="0" fontId="6" fillId="3" borderId="2" xfId="0" applyNumberFormat="1" applyFont="1" applyFill="1" applyBorder="1" applyAlignment="1" applyProtection="1">
      <alignment vertical="center"/>
    </xf>
    <xf numFmtId="0" fontId="6" fillId="0" borderId="2" xfId="0" applyNumberFormat="1" applyFont="1" applyFill="1" applyBorder="1" applyAlignment="1" applyProtection="1">
      <alignment vertical="center"/>
    </xf>
    <xf numFmtId="0" fontId="8" fillId="0" borderId="1" xfId="0" quotePrefix="1" applyFont="1" applyFill="1" applyBorder="1" applyAlignment="1">
      <alignment horizontal="left" vertical="center"/>
    </xf>
    <xf numFmtId="0" fontId="14" fillId="0" borderId="3" xfId="0" quotePrefix="1" applyFont="1" applyBorder="1" applyAlignment="1">
      <alignment horizontal="center" wrapText="1"/>
    </xf>
    <xf numFmtId="0" fontId="14" fillId="0" borderId="1" xfId="0" quotePrefix="1" applyFont="1" applyBorder="1" applyAlignment="1">
      <alignment horizontal="center" wrapText="1"/>
    </xf>
    <xf numFmtId="0" fontId="5" fillId="3" borderId="3" xfId="0" quotePrefix="1" applyFont="1" applyFill="1" applyBorder="1" applyAlignment="1">
      <alignment horizontal="left" vertical="center" wrapText="1"/>
    </xf>
    <xf numFmtId="0" fontId="8" fillId="0" borderId="1" xfId="0" quotePrefix="1" applyFont="1" applyBorder="1" applyAlignment="1">
      <alignment horizontal="left" vertical="center"/>
    </xf>
    <xf numFmtId="0" fontId="8" fillId="3" borderId="1" xfId="0" quotePrefix="1" applyNumberFormat="1" applyFont="1" applyFill="1" applyBorder="1" applyAlignment="1" applyProtection="1">
      <alignment horizontal="left" vertical="center" wrapText="1"/>
    </xf>
    <xf numFmtId="0" fontId="8" fillId="0" borderId="1" xfId="0" quotePrefix="1" applyNumberFormat="1" applyFont="1" applyFill="1" applyBorder="1" applyAlignment="1" applyProtection="1">
      <alignment horizontal="left" vertical="center" wrapText="1"/>
    </xf>
    <xf numFmtId="0" fontId="8" fillId="2" borderId="5" xfId="0" applyNumberFormat="1" applyFont="1" applyFill="1" applyBorder="1" applyAlignment="1" applyProtection="1">
      <alignment horizontal="left" vertical="center" wrapText="1"/>
    </xf>
    <xf numFmtId="0" fontId="14" fillId="3" borderId="1" xfId="0" applyNumberFormat="1" applyFont="1" applyFill="1" applyBorder="1" applyAlignment="1" applyProtection="1">
      <alignment horizontal="center" vertical="center" wrapText="1"/>
    </xf>
    <xf numFmtId="0" fontId="14" fillId="3" borderId="2" xfId="0" applyNumberFormat="1" applyFont="1" applyFill="1" applyBorder="1" applyAlignment="1" applyProtection="1">
      <alignment horizontal="center" vertical="center" wrapText="1"/>
    </xf>
    <xf numFmtId="0" fontId="14" fillId="3" borderId="4" xfId="0" applyNumberFormat="1" applyFont="1" applyFill="1" applyBorder="1" applyAlignment="1" applyProtection="1">
      <alignment horizontal="center" vertical="center" wrapText="1"/>
    </xf>
    <xf numFmtId="0" fontId="5" fillId="3" borderId="1" xfId="0" applyNumberFormat="1" applyFont="1" applyFill="1" applyBorder="1" applyAlignment="1" applyProtection="1">
      <alignment horizontal="center" vertical="center" wrapText="1"/>
    </xf>
    <xf numFmtId="0" fontId="5" fillId="3" borderId="2" xfId="0" applyNumberFormat="1" applyFont="1" applyFill="1" applyBorder="1" applyAlignment="1" applyProtection="1">
      <alignment horizontal="center" vertical="center" wrapText="1"/>
    </xf>
    <xf numFmtId="0" fontId="5" fillId="3" borderId="4" xfId="0" applyNumberFormat="1" applyFont="1" applyFill="1" applyBorder="1" applyAlignment="1" applyProtection="1">
      <alignment horizontal="center" vertical="center" wrapText="1"/>
    </xf>
    <xf numFmtId="0" fontId="2" fillId="2" borderId="5" xfId="0" applyNumberFormat="1" applyFont="1" applyFill="1" applyBorder="1" applyAlignment="1" applyProtection="1">
      <alignment horizontal="center" vertical="center" wrapText="1"/>
    </xf>
    <xf numFmtId="0" fontId="19" fillId="2" borderId="1" xfId="0" applyNumberFormat="1" applyFont="1" applyFill="1" applyBorder="1" applyAlignment="1" applyProtection="1">
      <alignment horizontal="left" vertical="center" wrapText="1"/>
    </xf>
    <xf numFmtId="0" fontId="19" fillId="2" borderId="2" xfId="0" applyNumberFormat="1" applyFont="1" applyFill="1" applyBorder="1" applyAlignment="1" applyProtection="1">
      <alignment horizontal="left" vertical="center" wrapText="1"/>
    </xf>
    <xf numFmtId="0" fontId="19" fillId="2" borderId="4" xfId="0" applyNumberFormat="1" applyFont="1" applyFill="1" applyBorder="1" applyAlignment="1" applyProtection="1">
      <alignment horizontal="left" vertical="center" wrapText="1"/>
    </xf>
    <xf numFmtId="0" fontId="16" fillId="2" borderId="0" xfId="0" applyFont="1" applyFill="1" applyAlignment="1">
      <alignment horizontal="center"/>
    </xf>
    <xf numFmtId="0" fontId="2" fillId="2" borderId="1" xfId="0" applyNumberFormat="1" applyFont="1" applyFill="1" applyBorder="1" applyAlignment="1" applyProtection="1">
      <alignment horizontal="left" vertical="center" wrapText="1"/>
    </xf>
    <xf numFmtId="0" fontId="2" fillId="2" borderId="2" xfId="0" applyNumberFormat="1" applyFont="1" applyFill="1" applyBorder="1" applyAlignment="1" applyProtection="1">
      <alignment horizontal="left" vertical="center" wrapText="1"/>
    </xf>
    <xf numFmtId="0" fontId="2" fillId="2" borderId="4" xfId="0" applyNumberFormat="1" applyFont="1" applyFill="1" applyBorder="1" applyAlignment="1" applyProtection="1">
      <alignment horizontal="left" vertical="center" wrapText="1"/>
    </xf>
  </cellXfs>
  <cellStyles count="2">
    <cellStyle name="Normalno" xfId="0" builtinId="0"/>
    <cellStyle name="Obično_List4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W36"/>
  <sheetViews>
    <sheetView zoomScaleNormal="100" workbookViewId="0">
      <selection activeCell="J20" sqref="J20"/>
    </sheetView>
  </sheetViews>
  <sheetFormatPr defaultRowHeight="15" x14ac:dyDescent="0.25"/>
  <cols>
    <col min="6" max="10" width="25.28515625" customWidth="1"/>
    <col min="11" max="12" width="15.7109375" customWidth="1"/>
    <col min="13" max="13" width="25.28515625" customWidth="1"/>
  </cols>
  <sheetData>
    <row r="1" spans="2:13" ht="42" customHeight="1" x14ac:dyDescent="0.25">
      <c r="B1" s="115" t="s">
        <v>223</v>
      </c>
      <c r="C1" s="115"/>
      <c r="D1" s="115"/>
      <c r="E1" s="115"/>
      <c r="F1" s="115"/>
      <c r="G1" s="115"/>
      <c r="H1" s="115"/>
      <c r="I1" s="115"/>
      <c r="J1" s="115"/>
      <c r="K1" s="115"/>
      <c r="L1" s="115"/>
      <c r="M1" s="26"/>
    </row>
    <row r="2" spans="2:13" ht="18" customHeight="1" x14ac:dyDescent="0.25">
      <c r="B2" s="114"/>
      <c r="C2" s="114"/>
      <c r="D2" s="114"/>
      <c r="E2" s="114"/>
      <c r="F2" s="114"/>
      <c r="G2" s="114"/>
      <c r="H2" s="114"/>
      <c r="I2" s="114"/>
      <c r="J2" s="114"/>
      <c r="K2" s="114"/>
      <c r="L2" s="114"/>
      <c r="M2" s="3"/>
    </row>
    <row r="3" spans="2:13" ht="15.75" customHeight="1" x14ac:dyDescent="0.25">
      <c r="B3" s="115" t="s">
        <v>12</v>
      </c>
      <c r="C3" s="115"/>
      <c r="D3" s="115"/>
      <c r="E3" s="115"/>
      <c r="F3" s="115"/>
      <c r="G3" s="115"/>
      <c r="H3" s="115"/>
      <c r="I3" s="115"/>
      <c r="J3" s="115"/>
      <c r="K3" s="115"/>
      <c r="L3" s="115"/>
      <c r="M3" s="25"/>
    </row>
    <row r="4" spans="2:13" ht="18" x14ac:dyDescent="0.25">
      <c r="B4" s="114"/>
      <c r="C4" s="114"/>
      <c r="D4" s="114"/>
      <c r="E4" s="114"/>
      <c r="F4" s="114"/>
      <c r="G4" s="114"/>
      <c r="H4" s="114"/>
      <c r="I4" s="114"/>
      <c r="J4" s="114"/>
      <c r="K4" s="114"/>
      <c r="L4" s="114"/>
      <c r="M4" s="4"/>
    </row>
    <row r="5" spans="2:13" ht="18" customHeight="1" x14ac:dyDescent="0.25">
      <c r="B5" s="115" t="s">
        <v>64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  <c r="M5" s="24"/>
    </row>
    <row r="6" spans="2:13" ht="18" customHeight="1" x14ac:dyDescent="0.25">
      <c r="B6" s="115"/>
      <c r="C6" s="115"/>
      <c r="D6" s="115"/>
      <c r="E6" s="115"/>
      <c r="F6" s="115"/>
      <c r="G6" s="115"/>
      <c r="H6" s="115"/>
      <c r="I6" s="115"/>
      <c r="J6" s="115"/>
      <c r="K6" s="115"/>
      <c r="L6" s="115"/>
      <c r="M6" s="24"/>
    </row>
    <row r="7" spans="2:13" ht="18" customHeight="1" x14ac:dyDescent="0.25">
      <c r="B7" s="139" t="s">
        <v>72</v>
      </c>
      <c r="C7" s="139"/>
      <c r="D7" s="139"/>
      <c r="E7" s="139"/>
      <c r="F7" s="139"/>
      <c r="G7" s="51"/>
      <c r="H7" s="47"/>
      <c r="I7" s="47"/>
      <c r="J7" s="47"/>
      <c r="K7" s="48"/>
      <c r="L7" s="48"/>
    </row>
    <row r="8" spans="2:13" ht="25.5" x14ac:dyDescent="0.25">
      <c r="B8" s="123" t="s">
        <v>8</v>
      </c>
      <c r="C8" s="123"/>
      <c r="D8" s="123"/>
      <c r="E8" s="123"/>
      <c r="F8" s="123"/>
      <c r="G8" s="27" t="s">
        <v>224</v>
      </c>
      <c r="H8" s="27" t="s">
        <v>227</v>
      </c>
      <c r="I8" s="27" t="s">
        <v>225</v>
      </c>
      <c r="J8" s="27" t="s">
        <v>226</v>
      </c>
      <c r="K8" s="27" t="s">
        <v>30</v>
      </c>
      <c r="L8" s="27" t="s">
        <v>62</v>
      </c>
    </row>
    <row r="9" spans="2:13" x14ac:dyDescent="0.25">
      <c r="B9" s="133">
        <v>1</v>
      </c>
      <c r="C9" s="133"/>
      <c r="D9" s="133"/>
      <c r="E9" s="133"/>
      <c r="F9" s="134"/>
      <c r="G9" s="32">
        <v>2</v>
      </c>
      <c r="H9" s="31">
        <v>3</v>
      </c>
      <c r="I9" s="31">
        <v>4</v>
      </c>
      <c r="J9" s="31">
        <v>5</v>
      </c>
      <c r="K9" s="31" t="s">
        <v>45</v>
      </c>
      <c r="L9" s="31" t="s">
        <v>46</v>
      </c>
    </row>
    <row r="10" spans="2:13" x14ac:dyDescent="0.25">
      <c r="B10" s="121" t="s">
        <v>32</v>
      </c>
      <c r="C10" s="122"/>
      <c r="D10" s="122"/>
      <c r="E10" s="122"/>
      <c r="F10" s="131"/>
      <c r="G10" s="58">
        <f>35139929.46/7.5345</f>
        <v>4663870.1254230542</v>
      </c>
      <c r="H10" s="55">
        <v>9142400.2100000009</v>
      </c>
      <c r="I10" s="55">
        <v>9187450.2100000009</v>
      </c>
      <c r="J10" s="55">
        <v>14401591.130000001</v>
      </c>
      <c r="K10" s="55">
        <f>+J10/G10*100</f>
        <v>308.79056969223922</v>
      </c>
      <c r="L10" s="55">
        <f>+J10/I10*100</f>
        <v>156.75286179319602</v>
      </c>
    </row>
    <row r="11" spans="2:13" x14ac:dyDescent="0.25">
      <c r="B11" s="132" t="s">
        <v>31</v>
      </c>
      <c r="C11" s="131"/>
      <c r="D11" s="131"/>
      <c r="E11" s="131"/>
      <c r="F11" s="131"/>
      <c r="G11" s="58">
        <v>0</v>
      </c>
      <c r="H11" s="55">
        <v>0</v>
      </c>
      <c r="I11" s="55">
        <v>0</v>
      </c>
      <c r="J11" s="55">
        <v>6634.25</v>
      </c>
      <c r="K11" s="55"/>
      <c r="L11" s="55"/>
    </row>
    <row r="12" spans="2:13" x14ac:dyDescent="0.25">
      <c r="B12" s="128" t="s">
        <v>0</v>
      </c>
      <c r="C12" s="129"/>
      <c r="D12" s="129"/>
      <c r="E12" s="129"/>
      <c r="F12" s="130"/>
      <c r="G12" s="59">
        <f>+G10+G11</f>
        <v>4663870.1254230542</v>
      </c>
      <c r="H12" s="56">
        <f>+H10+H11</f>
        <v>9142400.2100000009</v>
      </c>
      <c r="I12" s="56">
        <f>+I10+I11</f>
        <v>9187450.2100000009</v>
      </c>
      <c r="J12" s="56">
        <f>+J10+J11</f>
        <v>14408225.380000001</v>
      </c>
      <c r="K12" s="56">
        <f t="shared" ref="K12:K16" si="0">+J12/G12*100</f>
        <v>308.93281743545651</v>
      </c>
      <c r="L12" s="56">
        <f t="shared" ref="L12:L16" si="1">+J12/I12*100</f>
        <v>156.82507170833418</v>
      </c>
    </row>
    <row r="13" spans="2:13" x14ac:dyDescent="0.25">
      <c r="B13" s="138" t="s">
        <v>33</v>
      </c>
      <c r="C13" s="122"/>
      <c r="D13" s="122"/>
      <c r="E13" s="122"/>
      <c r="F13" s="122"/>
      <c r="G13" s="60">
        <f>32427126.6/7.5345</f>
        <v>4303819.3111686241</v>
      </c>
      <c r="H13" s="55">
        <v>4887550.84</v>
      </c>
      <c r="I13" s="55">
        <v>4932600.84</v>
      </c>
      <c r="J13" s="55">
        <v>4877577.1100000003</v>
      </c>
      <c r="K13" s="55">
        <f t="shared" si="0"/>
        <v>113.33136354824298</v>
      </c>
      <c r="L13" s="55">
        <f t="shared" si="1"/>
        <v>98.884488492281903</v>
      </c>
    </row>
    <row r="14" spans="2:13" x14ac:dyDescent="0.25">
      <c r="B14" s="136" t="s">
        <v>34</v>
      </c>
      <c r="C14" s="131"/>
      <c r="D14" s="131"/>
      <c r="E14" s="131"/>
      <c r="F14" s="131"/>
      <c r="G14" s="58">
        <f>3858432.55/7.5345</f>
        <v>512102.004114407</v>
      </c>
      <c r="H14" s="61">
        <v>4398069.28</v>
      </c>
      <c r="I14" s="61">
        <v>4398069.28</v>
      </c>
      <c r="J14" s="61">
        <f>9486234.08+178408.45</f>
        <v>9664642.5299999993</v>
      </c>
      <c r="K14" s="55">
        <f t="shared" si="0"/>
        <v>1887.249503487757</v>
      </c>
      <c r="L14" s="55">
        <f t="shared" si="1"/>
        <v>219.7473917464074</v>
      </c>
    </row>
    <row r="15" spans="2:13" x14ac:dyDescent="0.25">
      <c r="B15" s="19" t="s">
        <v>1</v>
      </c>
      <c r="C15" s="45"/>
      <c r="D15" s="45"/>
      <c r="E15" s="45"/>
      <c r="F15" s="45"/>
      <c r="G15" s="59">
        <f>+G14+G13</f>
        <v>4815921.3152830312</v>
      </c>
      <c r="H15" s="56">
        <f>+H14+H13</f>
        <v>9285620.120000001</v>
      </c>
      <c r="I15" s="56">
        <f>+I14+I13</f>
        <v>9330670.120000001</v>
      </c>
      <c r="J15" s="56">
        <f>+J14+J13</f>
        <v>14542219.640000001</v>
      </c>
      <c r="K15" s="56">
        <f t="shared" si="0"/>
        <v>301.96132137481476</v>
      </c>
      <c r="L15" s="56">
        <f t="shared" si="1"/>
        <v>155.8539681820838</v>
      </c>
    </row>
    <row r="16" spans="2:13" x14ac:dyDescent="0.25">
      <c r="B16" s="137" t="s">
        <v>2</v>
      </c>
      <c r="C16" s="129"/>
      <c r="D16" s="129"/>
      <c r="E16" s="129"/>
      <c r="F16" s="129"/>
      <c r="G16" s="62">
        <f>+G12-G15</f>
        <v>-152051.18985997699</v>
      </c>
      <c r="H16" s="62">
        <f>+H12-H15</f>
        <v>-143219.91000000015</v>
      </c>
      <c r="I16" s="62">
        <f>+I12-I15</f>
        <v>-143219.91000000015</v>
      </c>
      <c r="J16" s="62">
        <f>+J12-J15</f>
        <v>-133994.25999999978</v>
      </c>
      <c r="K16" s="62">
        <f t="shared" si="0"/>
        <v>88.124440277905265</v>
      </c>
      <c r="L16" s="56">
        <f t="shared" si="1"/>
        <v>93.558402599191439</v>
      </c>
    </row>
    <row r="17" spans="1:49" ht="18" x14ac:dyDescent="0.25">
      <c r="B17" s="116"/>
      <c r="C17" s="116"/>
      <c r="D17" s="116"/>
      <c r="E17" s="116"/>
      <c r="F17" s="116"/>
      <c r="G17" s="116"/>
      <c r="H17" s="116"/>
      <c r="I17" s="116"/>
      <c r="J17" s="116"/>
      <c r="K17" s="116"/>
      <c r="L17" s="116"/>
      <c r="M17" s="1"/>
    </row>
    <row r="18" spans="1:49" ht="18" customHeight="1" x14ac:dyDescent="0.25">
      <c r="B18" s="120" t="s">
        <v>69</v>
      </c>
      <c r="C18" s="120"/>
      <c r="D18" s="120"/>
      <c r="E18" s="120"/>
      <c r="F18" s="120"/>
      <c r="G18" s="46"/>
      <c r="H18" s="47"/>
      <c r="I18" s="47"/>
      <c r="J18" s="47"/>
      <c r="K18" s="48"/>
      <c r="L18" s="48"/>
      <c r="M18" s="95"/>
    </row>
    <row r="19" spans="1:49" ht="25.5" x14ac:dyDescent="0.25">
      <c r="B19" s="123" t="s">
        <v>8</v>
      </c>
      <c r="C19" s="123"/>
      <c r="D19" s="123"/>
      <c r="E19" s="123"/>
      <c r="F19" s="123"/>
      <c r="G19" s="27" t="s">
        <v>224</v>
      </c>
      <c r="H19" s="2" t="s">
        <v>227</v>
      </c>
      <c r="I19" s="2" t="s">
        <v>228</v>
      </c>
      <c r="J19" s="2" t="s">
        <v>226</v>
      </c>
      <c r="K19" s="2" t="s">
        <v>30</v>
      </c>
      <c r="L19" s="2" t="s">
        <v>62</v>
      </c>
    </row>
    <row r="20" spans="1:49" x14ac:dyDescent="0.25">
      <c r="B20" s="124">
        <v>1</v>
      </c>
      <c r="C20" s="125"/>
      <c r="D20" s="125"/>
      <c r="E20" s="125"/>
      <c r="F20" s="125"/>
      <c r="G20" s="33">
        <v>2</v>
      </c>
      <c r="H20" s="31">
        <v>3</v>
      </c>
      <c r="I20" s="31">
        <v>4</v>
      </c>
      <c r="J20" s="31">
        <v>5</v>
      </c>
      <c r="K20" s="31" t="s">
        <v>45</v>
      </c>
      <c r="L20" s="31" t="s">
        <v>46</v>
      </c>
    </row>
    <row r="21" spans="1:49" ht="15.75" customHeight="1" x14ac:dyDescent="0.25">
      <c r="B21" s="121" t="s">
        <v>35</v>
      </c>
      <c r="C21" s="126"/>
      <c r="D21" s="126"/>
      <c r="E21" s="126"/>
      <c r="F21" s="126"/>
      <c r="G21" s="63"/>
      <c r="H21" s="61"/>
      <c r="I21" s="61"/>
      <c r="J21" s="61"/>
      <c r="K21" s="61"/>
      <c r="L21" s="61"/>
    </row>
    <row r="22" spans="1:49" x14ac:dyDescent="0.25">
      <c r="B22" s="121" t="s">
        <v>36</v>
      </c>
      <c r="C22" s="122"/>
      <c r="D22" s="122"/>
      <c r="E22" s="122"/>
      <c r="F22" s="122"/>
      <c r="G22" s="60"/>
      <c r="H22" s="61"/>
      <c r="I22" s="61"/>
      <c r="J22" s="61"/>
      <c r="K22" s="61"/>
      <c r="L22" s="61"/>
    </row>
    <row r="23" spans="1:49" ht="15" customHeight="1" x14ac:dyDescent="0.25">
      <c r="B23" s="117" t="s">
        <v>63</v>
      </c>
      <c r="C23" s="118"/>
      <c r="D23" s="118"/>
      <c r="E23" s="118"/>
      <c r="F23" s="119"/>
      <c r="G23" s="64"/>
      <c r="H23" s="65"/>
      <c r="I23" s="65"/>
      <c r="J23" s="65"/>
      <c r="K23" s="65"/>
      <c r="L23" s="65"/>
      <c r="M23" s="57"/>
    </row>
    <row r="24" spans="1:49" s="36" customFormat="1" ht="15" customHeight="1" x14ac:dyDescent="0.25">
      <c r="A24"/>
      <c r="B24" s="121" t="s">
        <v>18</v>
      </c>
      <c r="C24" s="122"/>
      <c r="D24" s="122"/>
      <c r="E24" s="122"/>
      <c r="F24" s="122"/>
      <c r="G24" s="60"/>
      <c r="H24" s="61">
        <v>496537.95</v>
      </c>
      <c r="I24" s="61">
        <v>496537.95</v>
      </c>
      <c r="J24" s="61">
        <v>496537.95</v>
      </c>
      <c r="K24" s="61"/>
      <c r="L24" s="61">
        <f>+J24/I24*100</f>
        <v>100</v>
      </c>
      <c r="M24" s="57"/>
      <c r="N24"/>
      <c r="O24"/>
      <c r="P24"/>
      <c r="Q24"/>
      <c r="R24"/>
      <c r="S24"/>
      <c r="T24"/>
      <c r="U24"/>
      <c r="V24"/>
      <c r="W24"/>
      <c r="X24"/>
      <c r="Y24"/>
      <c r="Z24"/>
      <c r="AA24"/>
      <c r="AB24"/>
      <c r="AC24"/>
      <c r="AD24"/>
      <c r="AE24"/>
      <c r="AF24"/>
      <c r="AG24"/>
      <c r="AH24"/>
      <c r="AI24"/>
      <c r="AJ24"/>
      <c r="AK24"/>
      <c r="AL24"/>
      <c r="AM24"/>
      <c r="AN24"/>
      <c r="AO24"/>
      <c r="AP24"/>
      <c r="AQ24"/>
      <c r="AR24"/>
      <c r="AS24"/>
      <c r="AT24"/>
      <c r="AU24"/>
      <c r="AV24"/>
      <c r="AW24"/>
    </row>
    <row r="25" spans="1:49" s="36" customFormat="1" ht="15" customHeight="1" x14ac:dyDescent="0.25">
      <c r="A25"/>
      <c r="B25" s="121" t="s">
        <v>68</v>
      </c>
      <c r="C25" s="122"/>
      <c r="D25" s="122"/>
      <c r="E25" s="122"/>
      <c r="F25" s="122"/>
      <c r="G25" s="60">
        <v>-496537.95</v>
      </c>
      <c r="H25" s="61">
        <v>-353318.04</v>
      </c>
      <c r="I25" s="61">
        <v>-353318.04</v>
      </c>
      <c r="J25" s="61">
        <f>-J24-J16</f>
        <v>-362543.69000000024</v>
      </c>
      <c r="K25" s="61"/>
      <c r="L25" s="61">
        <f t="shared" ref="L25:L26" si="2">+J25/I25*100</f>
        <v>102.61114603715117</v>
      </c>
      <c r="M25"/>
      <c r="N25"/>
      <c r="O25"/>
      <c r="P25"/>
      <c r="Q25"/>
      <c r="R25"/>
      <c r="S25"/>
      <c r="T25"/>
      <c r="U25"/>
      <c r="V25"/>
      <c r="W25"/>
      <c r="X25"/>
      <c r="Y25"/>
      <c r="Z25"/>
      <c r="AA25"/>
      <c r="AB25"/>
      <c r="AC25"/>
      <c r="AD25"/>
      <c r="AE25"/>
      <c r="AF25"/>
      <c r="AG25"/>
      <c r="AH25"/>
      <c r="AI25"/>
      <c r="AJ25"/>
      <c r="AK25"/>
      <c r="AL25"/>
      <c r="AM25"/>
      <c r="AN25"/>
      <c r="AO25"/>
      <c r="AP25"/>
      <c r="AQ25"/>
      <c r="AR25"/>
      <c r="AS25"/>
      <c r="AT25"/>
      <c r="AU25"/>
      <c r="AV25"/>
      <c r="AW25"/>
    </row>
    <row r="26" spans="1:49" s="44" customFormat="1" x14ac:dyDescent="0.25">
      <c r="A26" s="43"/>
      <c r="B26" s="117" t="s">
        <v>70</v>
      </c>
      <c r="C26" s="118"/>
      <c r="D26" s="118"/>
      <c r="E26" s="118"/>
      <c r="F26" s="119"/>
      <c r="G26" s="98"/>
      <c r="H26" s="98">
        <f>+H24+H25</f>
        <v>143219.91000000003</v>
      </c>
      <c r="I26" s="98">
        <f>+I24+I25</f>
        <v>143219.91000000003</v>
      </c>
      <c r="J26" s="98">
        <f>+J24+J25</f>
        <v>133994.25999999978</v>
      </c>
      <c r="K26" s="66"/>
      <c r="L26" s="98">
        <f t="shared" si="2"/>
        <v>93.55840259919151</v>
      </c>
      <c r="M26" s="43"/>
      <c r="N26" s="43"/>
      <c r="O26" s="43"/>
      <c r="P26" s="43"/>
      <c r="Q26" s="43"/>
      <c r="R26" s="43"/>
      <c r="S26" s="43"/>
      <c r="T26" s="43"/>
      <c r="U26" s="43"/>
      <c r="V26" s="43"/>
      <c r="W26" s="43"/>
      <c r="X26" s="43"/>
      <c r="Y26" s="43"/>
      <c r="Z26" s="43"/>
      <c r="AA26" s="43"/>
      <c r="AB26" s="43"/>
      <c r="AC26" s="43"/>
      <c r="AD26" s="43"/>
      <c r="AE26" s="43"/>
      <c r="AF26" s="43"/>
      <c r="AG26" s="43"/>
      <c r="AH26" s="43"/>
      <c r="AI26" s="43"/>
      <c r="AJ26" s="43"/>
      <c r="AK26" s="43"/>
      <c r="AL26" s="43"/>
      <c r="AM26" s="43"/>
      <c r="AN26" s="43"/>
      <c r="AO26" s="43"/>
      <c r="AP26" s="43"/>
      <c r="AQ26" s="43"/>
      <c r="AR26" s="43"/>
      <c r="AS26" s="43"/>
      <c r="AT26" s="43"/>
      <c r="AU26" s="43"/>
      <c r="AV26" s="43"/>
      <c r="AW26" s="43"/>
    </row>
    <row r="27" spans="1:49" ht="15.75" x14ac:dyDescent="0.25">
      <c r="B27" s="135" t="s">
        <v>71</v>
      </c>
      <c r="C27" s="135"/>
      <c r="D27" s="135"/>
      <c r="E27" s="135"/>
      <c r="F27" s="135"/>
      <c r="G27" s="67"/>
      <c r="H27" s="67">
        <f>+H16+H26</f>
        <v>0</v>
      </c>
      <c r="I27" s="67">
        <f>+I16+I26</f>
        <v>0</v>
      </c>
      <c r="J27" s="67">
        <f>+J16+J26</f>
        <v>0</v>
      </c>
      <c r="K27" s="67"/>
      <c r="L27" s="67"/>
    </row>
    <row r="29" spans="1:49" x14ac:dyDescent="0.25">
      <c r="B29" s="29"/>
      <c r="C29" s="29"/>
      <c r="D29" s="29"/>
      <c r="E29" s="29"/>
      <c r="F29" s="29"/>
      <c r="G29" s="29"/>
      <c r="H29" s="29"/>
      <c r="I29" s="29"/>
      <c r="J29" s="29"/>
      <c r="K29" s="29"/>
      <c r="L29" s="34"/>
    </row>
    <row r="30" spans="1:49" x14ac:dyDescent="0.25">
      <c r="B30" s="113" t="s">
        <v>76</v>
      </c>
      <c r="C30" s="113"/>
      <c r="D30" s="113"/>
      <c r="E30" s="113"/>
      <c r="F30" s="113"/>
      <c r="G30" s="113"/>
      <c r="H30" s="113"/>
      <c r="I30" s="113"/>
      <c r="J30" s="113"/>
      <c r="K30" s="113"/>
      <c r="L30" s="113"/>
    </row>
    <row r="31" spans="1:49" ht="15" customHeight="1" x14ac:dyDescent="0.25">
      <c r="B31" s="113" t="s">
        <v>77</v>
      </c>
      <c r="C31" s="113"/>
      <c r="D31" s="113"/>
      <c r="E31" s="113"/>
      <c r="F31" s="113"/>
      <c r="G31" s="113"/>
      <c r="H31" s="113"/>
      <c r="I31" s="113"/>
      <c r="J31" s="113"/>
      <c r="K31" s="113"/>
      <c r="L31" s="113"/>
    </row>
    <row r="32" spans="1:49" ht="15" customHeight="1" x14ac:dyDescent="0.25">
      <c r="B32" s="113" t="s">
        <v>79</v>
      </c>
      <c r="C32" s="113"/>
      <c r="D32" s="113"/>
      <c r="E32" s="113"/>
      <c r="F32" s="113"/>
      <c r="G32" s="113"/>
      <c r="H32" s="113"/>
      <c r="I32" s="113"/>
      <c r="J32" s="113"/>
      <c r="K32" s="113"/>
      <c r="L32" s="113"/>
    </row>
    <row r="33" spans="2:12" ht="15" customHeight="1" x14ac:dyDescent="0.25">
      <c r="B33" s="113" t="s">
        <v>80</v>
      </c>
      <c r="C33" s="113"/>
      <c r="D33" s="113"/>
      <c r="E33" s="113"/>
      <c r="F33" s="113"/>
      <c r="G33" s="113"/>
      <c r="H33" s="113"/>
      <c r="I33" s="113"/>
      <c r="J33" s="113"/>
      <c r="K33" s="113"/>
      <c r="L33" s="113"/>
    </row>
    <row r="34" spans="2:12" ht="36.75" customHeight="1" x14ac:dyDescent="0.25">
      <c r="B34" s="113"/>
      <c r="C34" s="113"/>
      <c r="D34" s="113"/>
      <c r="E34" s="113"/>
      <c r="F34" s="113"/>
      <c r="G34" s="113"/>
      <c r="H34" s="113"/>
      <c r="I34" s="113"/>
      <c r="J34" s="113"/>
      <c r="K34" s="113"/>
      <c r="L34" s="113"/>
    </row>
    <row r="35" spans="2:12" ht="15" customHeight="1" x14ac:dyDescent="0.25">
      <c r="B35" s="127" t="s">
        <v>81</v>
      </c>
      <c r="C35" s="127"/>
      <c r="D35" s="127"/>
      <c r="E35" s="127"/>
      <c r="F35" s="127"/>
      <c r="G35" s="127"/>
      <c r="H35" s="127"/>
      <c r="I35" s="127"/>
      <c r="J35" s="127"/>
      <c r="K35" s="127"/>
      <c r="L35" s="127"/>
    </row>
    <row r="36" spans="2:12" x14ac:dyDescent="0.25">
      <c r="B36" s="127"/>
      <c r="C36" s="127"/>
      <c r="D36" s="127"/>
      <c r="E36" s="127"/>
      <c r="F36" s="127"/>
      <c r="G36" s="127"/>
      <c r="H36" s="127"/>
      <c r="I36" s="127"/>
      <c r="J36" s="127"/>
      <c r="K36" s="127"/>
      <c r="L36" s="127"/>
    </row>
  </sheetData>
  <mergeCells count="31">
    <mergeCell ref="B1:L1"/>
    <mergeCell ref="B33:L34"/>
    <mergeCell ref="B35:L36"/>
    <mergeCell ref="B12:F12"/>
    <mergeCell ref="B22:F22"/>
    <mergeCell ref="B10:F10"/>
    <mergeCell ref="B11:F11"/>
    <mergeCell ref="B8:F8"/>
    <mergeCell ref="B9:F9"/>
    <mergeCell ref="B27:F27"/>
    <mergeCell ref="B14:F14"/>
    <mergeCell ref="B16:F16"/>
    <mergeCell ref="B13:F13"/>
    <mergeCell ref="B30:L30"/>
    <mergeCell ref="B31:L31"/>
    <mergeCell ref="B7:F7"/>
    <mergeCell ref="B32:L32"/>
    <mergeCell ref="B2:L2"/>
    <mergeCell ref="B4:L4"/>
    <mergeCell ref="B6:L6"/>
    <mergeCell ref="B17:L17"/>
    <mergeCell ref="B5:L5"/>
    <mergeCell ref="B3:L3"/>
    <mergeCell ref="B26:F26"/>
    <mergeCell ref="B23:F23"/>
    <mergeCell ref="B18:F18"/>
    <mergeCell ref="B24:F24"/>
    <mergeCell ref="B25:F25"/>
    <mergeCell ref="B19:F19"/>
    <mergeCell ref="B20:F20"/>
    <mergeCell ref="B21:F21"/>
  </mergeCells>
  <pageMargins left="0.7" right="0.7" top="0.75" bottom="0.75" header="0.3" footer="0.3"/>
  <pageSetup paperSize="9" scale="67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P138"/>
  <sheetViews>
    <sheetView topLeftCell="A121" zoomScale="90" zoomScaleNormal="90" workbookViewId="0">
      <selection activeCell="J52" sqref="J52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11.42578125" customWidth="1"/>
    <col min="5" max="5" width="8.42578125" customWidth="1"/>
    <col min="6" max="6" width="50.42578125" style="101" customWidth="1"/>
    <col min="7" max="10" width="25.28515625" customWidth="1"/>
    <col min="11" max="12" width="15.7109375" customWidth="1"/>
    <col min="14" max="14" width="15.5703125" customWidth="1"/>
    <col min="15" max="16" width="12.5703125" bestFit="1" customWidth="1"/>
  </cols>
  <sheetData>
    <row r="1" spans="2:16" ht="18" x14ac:dyDescent="0.25">
      <c r="B1" s="114"/>
      <c r="C1" s="114"/>
      <c r="D1" s="114"/>
      <c r="E1" s="114"/>
      <c r="F1" s="114"/>
      <c r="G1" s="114"/>
      <c r="H1" s="114"/>
      <c r="I1" s="114"/>
      <c r="J1" s="114"/>
      <c r="K1" s="114"/>
      <c r="L1" s="114"/>
    </row>
    <row r="2" spans="2:16" ht="15.75" customHeight="1" x14ac:dyDescent="0.25">
      <c r="B2" s="115" t="s">
        <v>12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2:16" ht="18" x14ac:dyDescent="0.25">
      <c r="B3" s="114"/>
      <c r="C3" s="114"/>
      <c r="D3" s="114"/>
      <c r="E3" s="114"/>
      <c r="F3" s="114"/>
      <c r="G3" s="114"/>
      <c r="H3" s="114"/>
      <c r="I3" s="114"/>
      <c r="J3" s="114"/>
      <c r="K3" s="114"/>
      <c r="L3" s="114"/>
    </row>
    <row r="4" spans="2:16" ht="15.75" customHeight="1" x14ac:dyDescent="0.25">
      <c r="B4" s="115" t="s">
        <v>66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2:16" ht="18" x14ac:dyDescent="0.25">
      <c r="B5" s="114"/>
      <c r="C5" s="114"/>
      <c r="D5" s="114"/>
      <c r="E5" s="114"/>
      <c r="F5" s="114"/>
      <c r="G5" s="114"/>
      <c r="H5" s="114"/>
      <c r="I5" s="114"/>
      <c r="J5" s="114"/>
      <c r="K5" s="114"/>
      <c r="L5" s="114"/>
    </row>
    <row r="6" spans="2:16" ht="15.75" customHeight="1" x14ac:dyDescent="0.25">
      <c r="B6" s="115" t="s">
        <v>47</v>
      </c>
      <c r="C6" s="115"/>
      <c r="D6" s="115"/>
      <c r="E6" s="115"/>
      <c r="F6" s="115"/>
      <c r="G6" s="115"/>
      <c r="H6" s="115"/>
      <c r="I6" s="115"/>
      <c r="J6" s="115"/>
      <c r="K6" s="115"/>
      <c r="L6" s="115"/>
    </row>
    <row r="7" spans="2:16" ht="18" x14ac:dyDescent="0.25">
      <c r="B7" s="146"/>
      <c r="C7" s="146"/>
      <c r="D7" s="146"/>
      <c r="E7" s="146"/>
      <c r="F7" s="146"/>
      <c r="G7" s="146"/>
      <c r="H7" s="146"/>
      <c r="I7" s="146"/>
      <c r="J7" s="146"/>
      <c r="K7" s="146"/>
      <c r="L7" s="146"/>
    </row>
    <row r="8" spans="2:16" ht="45" customHeight="1" x14ac:dyDescent="0.25">
      <c r="B8" s="143" t="s">
        <v>8</v>
      </c>
      <c r="C8" s="144"/>
      <c r="D8" s="144"/>
      <c r="E8" s="144"/>
      <c r="F8" s="145"/>
      <c r="G8" s="35" t="s">
        <v>229</v>
      </c>
      <c r="H8" s="35" t="s">
        <v>227</v>
      </c>
      <c r="I8" s="35" t="s">
        <v>228</v>
      </c>
      <c r="J8" s="35" t="s">
        <v>226</v>
      </c>
      <c r="K8" s="35" t="s">
        <v>30</v>
      </c>
      <c r="L8" s="35" t="s">
        <v>62</v>
      </c>
    </row>
    <row r="9" spans="2:16" x14ac:dyDescent="0.25">
      <c r="B9" s="140">
        <v>1</v>
      </c>
      <c r="C9" s="141"/>
      <c r="D9" s="141"/>
      <c r="E9" s="141"/>
      <c r="F9" s="142"/>
      <c r="G9" s="37">
        <v>2</v>
      </c>
      <c r="H9" s="37">
        <v>3</v>
      </c>
      <c r="I9" s="37">
        <v>4</v>
      </c>
      <c r="J9" s="37">
        <v>5</v>
      </c>
      <c r="K9" s="37" t="s">
        <v>45</v>
      </c>
      <c r="L9" s="37" t="s">
        <v>46</v>
      </c>
    </row>
    <row r="10" spans="2:16" x14ac:dyDescent="0.25">
      <c r="B10" s="7"/>
      <c r="C10" s="7"/>
      <c r="D10" s="7"/>
      <c r="E10" s="7"/>
      <c r="F10" s="7" t="s">
        <v>61</v>
      </c>
      <c r="G10" s="55">
        <f>+G11+G47</f>
        <v>4663870.1269818842</v>
      </c>
      <c r="H10" s="55">
        <f>+H11+H47</f>
        <v>9142400.2100000009</v>
      </c>
      <c r="I10" s="55">
        <f t="shared" ref="I10:J10" si="0">+I11+I47</f>
        <v>9187450.2100000009</v>
      </c>
      <c r="J10" s="55">
        <f t="shared" si="0"/>
        <v>14408225.979999999</v>
      </c>
      <c r="K10" s="107">
        <f>+J10/G10*100</f>
        <v>308.9328301970524</v>
      </c>
      <c r="L10" s="107">
        <f t="shared" ref="L10:L11" si="1">+J10/I10*100</f>
        <v>156.8250782389818</v>
      </c>
      <c r="M10" s="96"/>
    </row>
    <row r="11" spans="2:16" x14ac:dyDescent="0.25">
      <c r="B11" s="7">
        <v>6</v>
      </c>
      <c r="C11" s="7"/>
      <c r="D11" s="7"/>
      <c r="E11" s="7"/>
      <c r="F11" s="7" t="s">
        <v>3</v>
      </c>
      <c r="G11" s="70">
        <f>+G12+G26+G30+G33+G40+G44</f>
        <v>4663870.1269818842</v>
      </c>
      <c r="H11" s="70">
        <f>+H12+H26+H30+H33+H40+H44</f>
        <v>9142400.2100000009</v>
      </c>
      <c r="I11" s="70">
        <f>+I12+I26+I30+I33+I40+I44</f>
        <v>9187450.2100000009</v>
      </c>
      <c r="J11" s="70">
        <f>+J12+J26+J30+J33+J40+J44</f>
        <v>14401591.729999999</v>
      </c>
      <c r="K11" s="107">
        <f>+J11/G11*100</f>
        <v>308.79058245388273</v>
      </c>
      <c r="L11" s="107">
        <f t="shared" si="1"/>
        <v>156.75286832384364</v>
      </c>
      <c r="N11" s="57"/>
    </row>
    <row r="12" spans="2:16" ht="25.5" x14ac:dyDescent="0.25">
      <c r="B12" s="7"/>
      <c r="C12" s="97">
        <v>63</v>
      </c>
      <c r="D12" s="12"/>
      <c r="E12" s="12"/>
      <c r="F12" s="12" t="s">
        <v>16</v>
      </c>
      <c r="G12" s="69">
        <f>+G13+G18+G22+G16+G20</f>
        <v>282751.95036166965</v>
      </c>
      <c r="H12" s="69">
        <v>3837346.58</v>
      </c>
      <c r="I12" s="69">
        <v>3837346.58</v>
      </c>
      <c r="J12" s="69">
        <f>+J13+J18+J22</f>
        <v>9206930.1999999993</v>
      </c>
      <c r="K12" s="71">
        <f>+J12/G12*100</f>
        <v>3256.1862750100795</v>
      </c>
      <c r="L12" s="71">
        <f>+J12/I12*100</f>
        <v>239.92959739383247</v>
      </c>
      <c r="O12" s="57"/>
    </row>
    <row r="13" spans="2:16" ht="29.25" x14ac:dyDescent="0.25">
      <c r="B13" s="8"/>
      <c r="C13" s="8"/>
      <c r="D13" s="8">
        <v>632</v>
      </c>
      <c r="E13" s="68"/>
      <c r="F13" s="99" t="s">
        <v>175</v>
      </c>
      <c r="G13" s="69">
        <f>+G14+G15</f>
        <v>23459.097484902777</v>
      </c>
      <c r="H13" s="69"/>
      <c r="I13" s="69"/>
      <c r="J13" s="71">
        <f>+J14+J15</f>
        <v>7462330.25</v>
      </c>
      <c r="K13" s="28"/>
      <c r="L13" s="28"/>
      <c r="N13" s="57"/>
    </row>
    <row r="14" spans="2:16" x14ac:dyDescent="0.25">
      <c r="B14" s="8"/>
      <c r="C14" s="8"/>
      <c r="D14" s="8"/>
      <c r="E14" s="68">
        <v>6323</v>
      </c>
      <c r="F14" s="100" t="s">
        <v>176</v>
      </c>
      <c r="G14" s="69">
        <f>2396.32/7.5345</f>
        <v>318.04632026013672</v>
      </c>
      <c r="H14" s="69"/>
      <c r="I14" s="69"/>
      <c r="J14" s="71">
        <v>13995.42</v>
      </c>
      <c r="K14" s="28"/>
      <c r="L14" s="28"/>
    </row>
    <row r="15" spans="2:16" x14ac:dyDescent="0.25">
      <c r="B15" s="8"/>
      <c r="C15" s="8"/>
      <c r="D15" s="8"/>
      <c r="E15" s="68">
        <v>6324</v>
      </c>
      <c r="F15" s="100" t="s">
        <v>177</v>
      </c>
      <c r="G15" s="69">
        <f>174356.25/7.5345</f>
        <v>23141.051164642642</v>
      </c>
      <c r="H15" s="69"/>
      <c r="I15" s="69"/>
      <c r="J15" s="71">
        <v>7448334.8300000001</v>
      </c>
      <c r="K15" s="28"/>
      <c r="L15" s="28"/>
    </row>
    <row r="16" spans="2:16" x14ac:dyDescent="0.25">
      <c r="B16" s="8"/>
      <c r="C16" s="8"/>
      <c r="D16" s="8">
        <v>634</v>
      </c>
      <c r="E16" s="68"/>
      <c r="F16" s="99" t="s">
        <v>178</v>
      </c>
      <c r="G16" s="69">
        <f>+G17</f>
        <v>4121.1148715906829</v>
      </c>
      <c r="H16" s="69"/>
      <c r="I16" s="69"/>
      <c r="J16" s="71"/>
      <c r="K16" s="28"/>
      <c r="L16" s="28"/>
      <c r="P16" s="57"/>
    </row>
    <row r="17" spans="2:12" x14ac:dyDescent="0.25">
      <c r="B17" s="8"/>
      <c r="C17" s="8"/>
      <c r="D17" s="8"/>
      <c r="E17" s="68">
        <v>6341</v>
      </c>
      <c r="F17" s="100" t="s">
        <v>179</v>
      </c>
      <c r="G17" s="69">
        <f>31050.54/7.5345</f>
        <v>4121.1148715906829</v>
      </c>
      <c r="H17" s="69"/>
      <c r="I17" s="69"/>
      <c r="J17" s="71"/>
      <c r="K17" s="28"/>
      <c r="L17" s="28"/>
    </row>
    <row r="18" spans="2:12" ht="25.5" x14ac:dyDescent="0.25">
      <c r="B18" s="8"/>
      <c r="C18" s="8"/>
      <c r="D18" s="8">
        <v>636</v>
      </c>
      <c r="E18" s="68"/>
      <c r="F18" s="23" t="s">
        <v>197</v>
      </c>
      <c r="G18" s="69">
        <f>+G19</f>
        <v>0</v>
      </c>
      <c r="H18" s="69"/>
      <c r="I18" s="69"/>
      <c r="J18" s="71">
        <f>+J19</f>
        <v>4900</v>
      </c>
      <c r="K18" s="28"/>
      <c r="L18" s="28"/>
    </row>
    <row r="19" spans="2:12" ht="25.5" x14ac:dyDescent="0.25">
      <c r="B19" s="8"/>
      <c r="C19" s="8"/>
      <c r="D19" s="8"/>
      <c r="E19" s="68">
        <v>6361</v>
      </c>
      <c r="F19" s="23" t="s">
        <v>198</v>
      </c>
      <c r="G19" s="69">
        <v>0</v>
      </c>
      <c r="H19" s="69"/>
      <c r="I19" s="69"/>
      <c r="J19" s="71">
        <v>4900</v>
      </c>
      <c r="K19" s="28"/>
      <c r="L19" s="28"/>
    </row>
    <row r="20" spans="2:12" x14ac:dyDescent="0.25">
      <c r="B20" s="8"/>
      <c r="C20" s="8"/>
      <c r="D20" s="8">
        <v>638</v>
      </c>
      <c r="E20" s="68"/>
      <c r="F20" s="99" t="s">
        <v>180</v>
      </c>
      <c r="G20" s="69">
        <f>+G21</f>
        <v>23352.984272347203</v>
      </c>
      <c r="H20" s="69"/>
      <c r="I20" s="69"/>
      <c r="J20" s="71"/>
      <c r="K20" s="28"/>
      <c r="L20" s="28"/>
    </row>
    <row r="21" spans="2:12" x14ac:dyDescent="0.25">
      <c r="B21" s="8"/>
      <c r="C21" s="8"/>
      <c r="D21" s="8"/>
      <c r="E21" s="68">
        <v>6381</v>
      </c>
      <c r="F21" s="100" t="s">
        <v>181</v>
      </c>
      <c r="G21" s="69">
        <f>175953.06/7.5345</f>
        <v>23352.984272347203</v>
      </c>
      <c r="H21" s="69"/>
      <c r="I21" s="69"/>
      <c r="J21" s="71"/>
      <c r="K21" s="28"/>
      <c r="L21" s="28"/>
    </row>
    <row r="22" spans="2:12" ht="29.25" x14ac:dyDescent="0.25">
      <c r="B22" s="8"/>
      <c r="C22" s="8"/>
      <c r="D22" s="8">
        <v>639</v>
      </c>
      <c r="E22" s="68"/>
      <c r="F22" s="99" t="s">
        <v>182</v>
      </c>
      <c r="G22" s="69">
        <f>+G23+G25</f>
        <v>231818.75373282898</v>
      </c>
      <c r="H22" s="69"/>
      <c r="I22" s="69"/>
      <c r="J22" s="71">
        <f>+J23+J24+J25</f>
        <v>1739699.95</v>
      </c>
      <c r="K22" s="28"/>
      <c r="L22" s="28"/>
    </row>
    <row r="23" spans="2:12" ht="29.25" x14ac:dyDescent="0.25">
      <c r="B23" s="8"/>
      <c r="C23" s="8"/>
      <c r="D23" s="8"/>
      <c r="E23" s="68">
        <v>6391</v>
      </c>
      <c r="F23" s="100" t="s">
        <v>183</v>
      </c>
      <c r="G23" s="69">
        <f>826030.51/7.5345</f>
        <v>109633.08912336585</v>
      </c>
      <c r="H23" s="69"/>
      <c r="I23" s="69"/>
      <c r="J23" s="71">
        <v>56049.64</v>
      </c>
      <c r="K23" s="28"/>
      <c r="L23" s="28"/>
    </row>
    <row r="24" spans="2:12" ht="29.25" x14ac:dyDescent="0.25">
      <c r="B24" s="8"/>
      <c r="C24" s="8"/>
      <c r="D24" s="8"/>
      <c r="E24" s="68">
        <v>6392</v>
      </c>
      <c r="F24" s="100" t="s">
        <v>184</v>
      </c>
      <c r="G24" s="69">
        <v>0</v>
      </c>
      <c r="H24" s="69"/>
      <c r="I24" s="69"/>
      <c r="J24" s="71">
        <v>1637927.98</v>
      </c>
      <c r="K24" s="28"/>
      <c r="L24" s="28"/>
    </row>
    <row r="25" spans="2:12" ht="29.25" x14ac:dyDescent="0.25">
      <c r="B25" s="8"/>
      <c r="C25" s="8"/>
      <c r="D25" s="8"/>
      <c r="E25" s="68">
        <v>6393</v>
      </c>
      <c r="F25" s="100" t="s">
        <v>185</v>
      </c>
      <c r="G25" s="69">
        <f>920607.89/7.5345</f>
        <v>122185.66460946313</v>
      </c>
      <c r="H25" s="69"/>
      <c r="I25" s="69"/>
      <c r="J25" s="71">
        <v>45722.33</v>
      </c>
      <c r="K25" s="28"/>
      <c r="L25" s="28"/>
    </row>
    <row r="26" spans="2:12" x14ac:dyDescent="0.25">
      <c r="B26" s="8"/>
      <c r="C26" s="8">
        <v>64</v>
      </c>
      <c r="D26" s="8"/>
      <c r="E26" s="68"/>
      <c r="F26" s="23" t="s">
        <v>199</v>
      </c>
      <c r="G26" s="69">
        <f>+G27</f>
        <v>323.54768066892291</v>
      </c>
      <c r="H26" s="69">
        <v>600</v>
      </c>
      <c r="I26" s="69">
        <v>600</v>
      </c>
      <c r="J26" s="71">
        <f>+J27</f>
        <v>365.78999999999996</v>
      </c>
      <c r="K26" s="71">
        <f>+J26/G26*100</f>
        <v>113.0559796453316</v>
      </c>
      <c r="L26" s="71">
        <f>+J26/I26*100</f>
        <v>60.964999999999989</v>
      </c>
    </row>
    <row r="27" spans="2:12" x14ac:dyDescent="0.25">
      <c r="B27" s="8"/>
      <c r="C27" s="8"/>
      <c r="D27" s="8">
        <v>641</v>
      </c>
      <c r="E27" s="68"/>
      <c r="F27" s="99" t="s">
        <v>186</v>
      </c>
      <c r="G27" s="69">
        <f>+G28+G29</f>
        <v>323.54768066892291</v>
      </c>
      <c r="H27" s="69"/>
      <c r="I27" s="69"/>
      <c r="J27" s="71">
        <f>+J28+J29</f>
        <v>365.78999999999996</v>
      </c>
      <c r="K27" s="28"/>
      <c r="L27" s="28"/>
    </row>
    <row r="28" spans="2:12" x14ac:dyDescent="0.25">
      <c r="B28" s="8"/>
      <c r="C28" s="8"/>
      <c r="D28" s="8"/>
      <c r="E28" s="68">
        <v>6413</v>
      </c>
      <c r="F28" s="100" t="s">
        <v>187</v>
      </c>
      <c r="G28" s="69">
        <f>72.48/7.5345</f>
        <v>9.6197491538920961</v>
      </c>
      <c r="H28" s="69"/>
      <c r="I28" s="69"/>
      <c r="J28" s="71">
        <v>365.14</v>
      </c>
      <c r="K28" s="28"/>
      <c r="L28" s="28"/>
    </row>
    <row r="29" spans="2:12" ht="29.25" x14ac:dyDescent="0.25">
      <c r="B29" s="8"/>
      <c r="C29" s="8"/>
      <c r="D29" s="8"/>
      <c r="E29" s="68">
        <v>6415</v>
      </c>
      <c r="F29" s="100" t="s">
        <v>188</v>
      </c>
      <c r="G29" s="69">
        <f>2365.29/7.5345</f>
        <v>313.92793151503082</v>
      </c>
      <c r="H29" s="69"/>
      <c r="I29" s="69"/>
      <c r="J29" s="71">
        <v>0.65</v>
      </c>
      <c r="K29" s="28"/>
      <c r="L29" s="28"/>
    </row>
    <row r="30" spans="2:12" ht="25.5" x14ac:dyDescent="0.25">
      <c r="B30" s="8"/>
      <c r="C30" s="8">
        <v>65</v>
      </c>
      <c r="D30" s="8"/>
      <c r="E30" s="68"/>
      <c r="F30" s="23" t="s">
        <v>200</v>
      </c>
      <c r="G30" s="69">
        <f>+G31</f>
        <v>40418.909018514831</v>
      </c>
      <c r="H30" s="69">
        <v>33180.699999999997</v>
      </c>
      <c r="I30" s="69">
        <v>33180.699999999997</v>
      </c>
      <c r="J30" s="71">
        <f>+J31</f>
        <v>40726.01</v>
      </c>
      <c r="K30" s="71">
        <f>+J30/G30*100</f>
        <v>100.75979532585725</v>
      </c>
      <c r="L30" s="71">
        <f>+J30/I30*100</f>
        <v>122.74005671971962</v>
      </c>
    </row>
    <row r="31" spans="2:12" x14ac:dyDescent="0.25">
      <c r="B31" s="8"/>
      <c r="C31" s="8"/>
      <c r="D31" s="8">
        <v>652</v>
      </c>
      <c r="E31" s="68"/>
      <c r="F31" s="99" t="s">
        <v>189</v>
      </c>
      <c r="G31" s="69">
        <f>+G32</f>
        <v>40418.909018514831</v>
      </c>
      <c r="H31" s="69"/>
      <c r="I31" s="69"/>
      <c r="J31" s="71">
        <f>+J32</f>
        <v>40726.01</v>
      </c>
      <c r="K31" s="28"/>
      <c r="L31" s="28"/>
    </row>
    <row r="32" spans="2:12" x14ac:dyDescent="0.25">
      <c r="B32" s="8"/>
      <c r="C32" s="8"/>
      <c r="D32" s="9"/>
      <c r="E32" s="9">
        <v>6526</v>
      </c>
      <c r="F32" s="100" t="s">
        <v>190</v>
      </c>
      <c r="G32" s="69">
        <f>304536.27/7.5345</f>
        <v>40418.909018514831</v>
      </c>
      <c r="H32" s="69"/>
      <c r="I32" s="69"/>
      <c r="J32" s="71">
        <v>40726.01</v>
      </c>
      <c r="K32" s="28"/>
      <c r="L32" s="28"/>
    </row>
    <row r="33" spans="2:14" ht="25.5" x14ac:dyDescent="0.25">
      <c r="B33" s="8"/>
      <c r="C33" s="8">
        <v>66</v>
      </c>
      <c r="D33" s="9"/>
      <c r="E33" s="9"/>
      <c r="F33" s="12" t="s">
        <v>19</v>
      </c>
      <c r="G33" s="69">
        <f>+G34+G37</f>
        <v>333014.34623996285</v>
      </c>
      <c r="H33" s="69">
        <v>408300</v>
      </c>
      <c r="I33" s="69">
        <v>408300</v>
      </c>
      <c r="J33" s="71">
        <f>+J34+J37</f>
        <v>550931.07999999996</v>
      </c>
      <c r="K33" s="71">
        <f>+J33/G33*100</f>
        <v>165.43764141710912</v>
      </c>
      <c r="L33" s="71">
        <f>+J33/I33*100</f>
        <v>134.93291207445506</v>
      </c>
    </row>
    <row r="34" spans="2:14" x14ac:dyDescent="0.25">
      <c r="B34" s="8"/>
      <c r="C34" s="18"/>
      <c r="D34" s="9">
        <v>661</v>
      </c>
      <c r="E34" s="9"/>
      <c r="F34" s="12" t="s">
        <v>37</v>
      </c>
      <c r="G34" s="69">
        <f>+G35+G36</f>
        <v>331103.13623996283</v>
      </c>
      <c r="H34" s="69"/>
      <c r="I34" s="69"/>
      <c r="J34" s="71">
        <f>+J35+J36</f>
        <v>370503.79</v>
      </c>
      <c r="K34" s="28"/>
      <c r="L34" s="28"/>
    </row>
    <row r="35" spans="2:14" x14ac:dyDescent="0.25">
      <c r="B35" s="8"/>
      <c r="C35" s="18"/>
      <c r="D35" s="9"/>
      <c r="E35" s="9">
        <v>6614</v>
      </c>
      <c r="F35" s="12" t="s">
        <v>38</v>
      </c>
      <c r="G35" s="69">
        <f>58442.39/7.5345</f>
        <v>7756.6381312628573</v>
      </c>
      <c r="H35" s="69"/>
      <c r="I35" s="69"/>
      <c r="J35" s="71">
        <v>10810.3</v>
      </c>
      <c r="K35" s="28"/>
      <c r="L35" s="28"/>
    </row>
    <row r="36" spans="2:14" x14ac:dyDescent="0.25">
      <c r="B36" s="8"/>
      <c r="C36" s="18"/>
      <c r="D36" s="9"/>
      <c r="E36" s="9">
        <v>6615</v>
      </c>
      <c r="F36" s="100" t="s">
        <v>191</v>
      </c>
      <c r="G36" s="69">
        <f>2436254.19/7.5345</f>
        <v>323346.49810869998</v>
      </c>
      <c r="H36" s="69"/>
      <c r="I36" s="69"/>
      <c r="J36" s="71">
        <v>359693.49</v>
      </c>
      <c r="K36" s="28"/>
      <c r="L36" s="28"/>
    </row>
    <row r="37" spans="2:14" ht="43.5" x14ac:dyDescent="0.25">
      <c r="B37" s="8"/>
      <c r="C37" s="18"/>
      <c r="D37" s="9">
        <v>663</v>
      </c>
      <c r="E37" s="9"/>
      <c r="F37" s="99" t="s">
        <v>192</v>
      </c>
      <c r="G37" s="69">
        <f>+G38+G39</f>
        <v>1911.21</v>
      </c>
      <c r="H37" s="69"/>
      <c r="I37" s="69"/>
      <c r="J37" s="71">
        <f>+J38+J39</f>
        <v>180427.29</v>
      </c>
      <c r="K37" s="28"/>
      <c r="L37" s="28"/>
    </row>
    <row r="38" spans="2:14" x14ac:dyDescent="0.25">
      <c r="B38" s="8"/>
      <c r="C38" s="18"/>
      <c r="D38" s="9"/>
      <c r="E38" s="9">
        <v>6631</v>
      </c>
      <c r="F38" s="12" t="s">
        <v>201</v>
      </c>
      <c r="G38" s="69">
        <v>0</v>
      </c>
      <c r="H38" s="69"/>
      <c r="I38" s="69"/>
      <c r="J38" s="71">
        <v>2018.84</v>
      </c>
      <c r="K38" s="28"/>
      <c r="L38" s="28"/>
    </row>
    <row r="39" spans="2:14" x14ac:dyDescent="0.25">
      <c r="B39" s="8"/>
      <c r="C39" s="18"/>
      <c r="D39" s="9"/>
      <c r="E39" s="9">
        <v>6632</v>
      </c>
      <c r="F39" s="100" t="s">
        <v>193</v>
      </c>
      <c r="G39" s="69">
        <v>1911.21</v>
      </c>
      <c r="H39" s="69"/>
      <c r="I39" s="69"/>
      <c r="J39" s="71">
        <v>178408.45</v>
      </c>
      <c r="K39" s="28"/>
      <c r="L39" s="28"/>
    </row>
    <row r="40" spans="2:14" ht="29.25" x14ac:dyDescent="0.25">
      <c r="B40" s="8"/>
      <c r="C40" s="18">
        <v>67</v>
      </c>
      <c r="D40" s="9"/>
      <c r="E40" s="9"/>
      <c r="F40" s="100" t="s">
        <v>202</v>
      </c>
      <c r="G40" s="69">
        <f>+G41</f>
        <v>4007002.0213683723</v>
      </c>
      <c r="H40" s="69">
        <v>4862872.93</v>
      </c>
      <c r="I40" s="69">
        <v>4907922.93</v>
      </c>
      <c r="J40" s="71">
        <f>+J41</f>
        <v>4602566.5699999994</v>
      </c>
      <c r="K40" s="71">
        <f>+J40/G40*100</f>
        <v>114.86309578721512</v>
      </c>
      <c r="L40" s="71">
        <f>+J40/I40*100</f>
        <v>93.778297574041162</v>
      </c>
    </row>
    <row r="41" spans="2:14" ht="29.25" x14ac:dyDescent="0.25">
      <c r="B41" s="8"/>
      <c r="C41" s="18"/>
      <c r="D41" s="9">
        <v>671</v>
      </c>
      <c r="E41" s="9"/>
      <c r="F41" s="99" t="s">
        <v>194</v>
      </c>
      <c r="G41" s="69">
        <f>+G42+G43</f>
        <v>4007002.0213683723</v>
      </c>
      <c r="H41" s="69"/>
      <c r="I41" s="69"/>
      <c r="J41" s="71">
        <f>+J42+J43</f>
        <v>4602566.5699999994</v>
      </c>
      <c r="K41" s="28"/>
      <c r="L41" s="28"/>
    </row>
    <row r="42" spans="2:14" ht="29.25" x14ac:dyDescent="0.25">
      <c r="B42" s="8"/>
      <c r="C42" s="18"/>
      <c r="D42" s="9"/>
      <c r="E42" s="9">
        <v>6711</v>
      </c>
      <c r="F42" s="100" t="s">
        <v>195</v>
      </c>
      <c r="G42" s="69">
        <f>+(1158385.14+28434258.46)/7.5345</f>
        <v>3927618.7670051097</v>
      </c>
      <c r="H42" s="69"/>
      <c r="I42" s="69"/>
      <c r="J42" s="71">
        <v>4483135.8499999996</v>
      </c>
      <c r="K42" s="28"/>
      <c r="L42" s="28"/>
      <c r="N42" s="57"/>
    </row>
    <row r="43" spans="2:14" ht="29.25" x14ac:dyDescent="0.25">
      <c r="B43" s="8"/>
      <c r="C43" s="18"/>
      <c r="D43" s="9"/>
      <c r="E43" s="9">
        <v>6712</v>
      </c>
      <c r="F43" s="100" t="s">
        <v>203</v>
      </c>
      <c r="G43" s="69">
        <f>598113.13/7.5345</f>
        <v>79383.254363262327</v>
      </c>
      <c r="H43" s="69"/>
      <c r="I43" s="69"/>
      <c r="J43" s="71">
        <v>119430.72</v>
      </c>
      <c r="K43" s="28"/>
      <c r="L43" s="28"/>
    </row>
    <row r="44" spans="2:14" x14ac:dyDescent="0.25">
      <c r="B44" s="8"/>
      <c r="C44" s="18">
        <v>68</v>
      </c>
      <c r="D44" s="9"/>
      <c r="E44" s="9"/>
      <c r="F44" s="12" t="s">
        <v>204</v>
      </c>
      <c r="G44" s="69">
        <f>+G45</f>
        <v>359.35231269493659</v>
      </c>
      <c r="H44" s="69">
        <v>100</v>
      </c>
      <c r="I44" s="69">
        <v>100</v>
      </c>
      <c r="J44" s="71">
        <f>+J45</f>
        <v>72.08</v>
      </c>
      <c r="K44" s="71">
        <f>+J44/G44*100</f>
        <v>20.058309757196572</v>
      </c>
      <c r="L44" s="71">
        <f>+J44/I44*100</f>
        <v>72.08</v>
      </c>
    </row>
    <row r="45" spans="2:14" x14ac:dyDescent="0.25">
      <c r="B45" s="8"/>
      <c r="C45" s="18"/>
      <c r="D45" s="9">
        <v>683</v>
      </c>
      <c r="E45" s="9"/>
      <c r="F45" s="99" t="s">
        <v>196</v>
      </c>
      <c r="G45" s="69">
        <f>+G46</f>
        <v>359.35231269493659</v>
      </c>
      <c r="H45" s="69"/>
      <c r="I45" s="69"/>
      <c r="J45" s="71">
        <f>+J46</f>
        <v>72.08</v>
      </c>
      <c r="K45" s="28"/>
      <c r="L45" s="28"/>
    </row>
    <row r="46" spans="2:14" x14ac:dyDescent="0.25">
      <c r="B46" s="8"/>
      <c r="C46" s="18"/>
      <c r="D46" s="9"/>
      <c r="E46" s="9">
        <v>6831</v>
      </c>
      <c r="F46" s="99" t="s">
        <v>196</v>
      </c>
      <c r="G46" s="69">
        <f>2707.54/7.5345</f>
        <v>359.35231269493659</v>
      </c>
      <c r="H46" s="69"/>
      <c r="I46" s="69"/>
      <c r="J46" s="71">
        <v>72.08</v>
      </c>
      <c r="K46" s="28"/>
      <c r="L46" s="28"/>
    </row>
    <row r="47" spans="2:14" x14ac:dyDescent="0.25">
      <c r="B47" s="18">
        <v>7</v>
      </c>
      <c r="C47" s="8"/>
      <c r="D47" s="9"/>
      <c r="E47" s="9"/>
      <c r="F47" s="7" t="s">
        <v>28</v>
      </c>
      <c r="G47" s="72"/>
      <c r="H47" s="72"/>
      <c r="I47" s="72"/>
      <c r="J47" s="72">
        <f>+J48</f>
        <v>6634.25</v>
      </c>
      <c r="K47" s="28"/>
      <c r="L47" s="28"/>
    </row>
    <row r="48" spans="2:14" ht="30.75" customHeight="1" x14ac:dyDescent="0.25">
      <c r="B48" s="8"/>
      <c r="C48" s="8">
        <v>72</v>
      </c>
      <c r="D48" s="9"/>
      <c r="E48" s="9"/>
      <c r="F48" s="23" t="s">
        <v>29</v>
      </c>
      <c r="G48" s="69"/>
      <c r="H48" s="69"/>
      <c r="I48" s="69"/>
      <c r="J48" s="71">
        <f>+J49</f>
        <v>6634.25</v>
      </c>
      <c r="K48" s="28"/>
      <c r="L48" s="28"/>
    </row>
    <row r="49" spans="2:14" x14ac:dyDescent="0.25">
      <c r="B49" s="8"/>
      <c r="C49" s="8"/>
      <c r="D49" s="8">
        <v>722</v>
      </c>
      <c r="E49" s="8"/>
      <c r="F49" s="23" t="s">
        <v>171</v>
      </c>
      <c r="G49" s="69"/>
      <c r="H49" s="69"/>
      <c r="I49" s="69"/>
      <c r="J49" s="71">
        <v>6634.25</v>
      </c>
      <c r="K49" s="28"/>
      <c r="L49" s="28"/>
    </row>
    <row r="50" spans="2:14" x14ac:dyDescent="0.25">
      <c r="B50" s="8"/>
      <c r="C50" s="8"/>
      <c r="D50" s="8"/>
      <c r="E50" s="8">
        <v>7221</v>
      </c>
      <c r="F50" s="23" t="s">
        <v>117</v>
      </c>
      <c r="G50" s="69"/>
      <c r="H50" s="69"/>
      <c r="I50" s="69"/>
      <c r="J50" s="71">
        <v>6634.25</v>
      </c>
      <c r="K50" s="28"/>
      <c r="L50" s="28"/>
    </row>
    <row r="51" spans="2:14" ht="18" x14ac:dyDescent="0.25">
      <c r="B51" s="114"/>
      <c r="C51" s="114"/>
      <c r="D51" s="114"/>
      <c r="E51" s="114"/>
      <c r="F51" s="114"/>
      <c r="G51" s="114"/>
      <c r="H51" s="114"/>
      <c r="I51" s="114"/>
      <c r="J51" s="114"/>
      <c r="K51" s="114"/>
      <c r="L51" s="114"/>
    </row>
    <row r="52" spans="2:14" ht="36.75" customHeight="1" x14ac:dyDescent="0.25">
      <c r="B52" s="143" t="s">
        <v>8</v>
      </c>
      <c r="C52" s="144"/>
      <c r="D52" s="144"/>
      <c r="E52" s="144"/>
      <c r="F52" s="145"/>
      <c r="G52" s="35" t="s">
        <v>229</v>
      </c>
      <c r="H52" s="35" t="s">
        <v>227</v>
      </c>
      <c r="I52" s="35" t="s">
        <v>228</v>
      </c>
      <c r="J52" s="35" t="s">
        <v>226</v>
      </c>
      <c r="K52" s="35" t="s">
        <v>30</v>
      </c>
      <c r="L52" s="35" t="s">
        <v>62</v>
      </c>
    </row>
    <row r="53" spans="2:14" x14ac:dyDescent="0.25">
      <c r="B53" s="140">
        <v>1</v>
      </c>
      <c r="C53" s="141"/>
      <c r="D53" s="141"/>
      <c r="E53" s="141"/>
      <c r="F53" s="142"/>
      <c r="G53" s="37">
        <v>2</v>
      </c>
      <c r="H53" s="37">
        <v>3</v>
      </c>
      <c r="I53" s="37">
        <v>4</v>
      </c>
      <c r="J53" s="37">
        <v>5</v>
      </c>
      <c r="K53" s="37" t="s">
        <v>45</v>
      </c>
      <c r="L53" s="37" t="s">
        <v>46</v>
      </c>
    </row>
    <row r="54" spans="2:14" x14ac:dyDescent="0.25">
      <c r="B54" s="7"/>
      <c r="C54" s="7"/>
      <c r="D54" s="7"/>
      <c r="E54" s="7"/>
      <c r="F54" s="7" t="s">
        <v>60</v>
      </c>
      <c r="G54" s="74">
        <f>+G55+G109</f>
        <v>4815921.3120499048</v>
      </c>
      <c r="H54" s="74">
        <f>+H55+H109</f>
        <v>9285620.120000001</v>
      </c>
      <c r="I54" s="74">
        <f>+I55+I109</f>
        <v>9330670.120000001</v>
      </c>
      <c r="J54" s="107">
        <f>+J55+J109</f>
        <v>14542219.640000001</v>
      </c>
      <c r="K54" s="107">
        <f>+J54/G54*100</f>
        <v>301.96132157753385</v>
      </c>
      <c r="L54" s="107">
        <f>+J54/I54*100</f>
        <v>155.8539681820838</v>
      </c>
      <c r="N54" s="57"/>
    </row>
    <row r="55" spans="2:14" x14ac:dyDescent="0.25">
      <c r="B55" s="7">
        <v>3</v>
      </c>
      <c r="C55" s="7"/>
      <c r="D55" s="7"/>
      <c r="E55" s="7"/>
      <c r="F55" s="7" t="s">
        <v>4</v>
      </c>
      <c r="G55" s="74">
        <f>+G56+G67+G98+G103+G106</f>
        <v>4303819.3079354977</v>
      </c>
      <c r="H55" s="74">
        <f>+H56+H67+H98+H103</f>
        <v>4887550.84</v>
      </c>
      <c r="I55" s="74">
        <f>+I56+I67+I98+I103</f>
        <v>4932600.84</v>
      </c>
      <c r="J55" s="107">
        <f>+J56+J67+J98+J103</f>
        <v>4877577.1099999994</v>
      </c>
      <c r="K55" s="107">
        <f t="shared" ref="K55:K56" si="2">+J55/G55*100</f>
        <v>113.33136363338005</v>
      </c>
      <c r="L55" s="107">
        <f t="shared" ref="L55:L56" si="3">+J55/I55*100</f>
        <v>98.884488492281889</v>
      </c>
      <c r="N55" s="57"/>
    </row>
    <row r="56" spans="2:14" x14ac:dyDescent="0.25">
      <c r="B56" s="7"/>
      <c r="C56" s="12">
        <v>31</v>
      </c>
      <c r="D56" s="12"/>
      <c r="E56" s="12"/>
      <c r="F56" s="12" t="s">
        <v>5</v>
      </c>
      <c r="G56" s="69">
        <f>+G57+G62+G64</f>
        <v>3145827.3063906035</v>
      </c>
      <c r="H56" s="69">
        <v>3575878.83</v>
      </c>
      <c r="I56" s="69">
        <f>3575878.83+45050</f>
        <v>3620928.83</v>
      </c>
      <c r="J56" s="71">
        <f>+J57+J62+J64</f>
        <v>3680534.4099999997</v>
      </c>
      <c r="K56" s="71">
        <f t="shared" si="2"/>
        <v>116.9973444671665</v>
      </c>
      <c r="L56" s="71">
        <f t="shared" si="3"/>
        <v>101.64614061193795</v>
      </c>
    </row>
    <row r="57" spans="2:14" x14ac:dyDescent="0.25">
      <c r="B57" s="8"/>
      <c r="C57" s="8"/>
      <c r="D57" s="8">
        <v>311</v>
      </c>
      <c r="E57" s="8"/>
      <c r="F57" s="23" t="s">
        <v>39</v>
      </c>
      <c r="G57" s="69">
        <f>+SUM(G58:G61)</f>
        <v>2551432.2025350058</v>
      </c>
      <c r="H57" s="69"/>
      <c r="I57" s="69"/>
      <c r="J57" s="71">
        <f>+J58+J59+J60+J61</f>
        <v>2954103.6999999997</v>
      </c>
      <c r="K57" s="28"/>
      <c r="L57" s="28"/>
      <c r="N57" s="57"/>
    </row>
    <row r="58" spans="2:14" x14ac:dyDescent="0.25">
      <c r="B58" s="8"/>
      <c r="C58" s="8"/>
      <c r="D58" s="8"/>
      <c r="E58" s="8">
        <v>3111</v>
      </c>
      <c r="F58" s="23" t="s">
        <v>40</v>
      </c>
      <c r="G58" s="69">
        <f>18994591.88/7.5345</f>
        <v>2521015.5790032516</v>
      </c>
      <c r="H58" s="69"/>
      <c r="I58" s="69"/>
      <c r="J58" s="71">
        <v>2909715.05</v>
      </c>
      <c r="K58" s="28"/>
      <c r="L58" s="28"/>
    </row>
    <row r="59" spans="2:14" x14ac:dyDescent="0.25">
      <c r="B59" s="8"/>
      <c r="C59" s="8"/>
      <c r="D59" s="8"/>
      <c r="E59" s="8">
        <v>3112</v>
      </c>
      <c r="F59" s="102" t="s">
        <v>150</v>
      </c>
      <c r="G59" s="69">
        <f>8285.99/7.5345</f>
        <v>1099.7398632955073</v>
      </c>
      <c r="H59" s="69"/>
      <c r="I59" s="69"/>
      <c r="J59" s="71">
        <v>1110.3599999999999</v>
      </c>
      <c r="K59" s="28"/>
      <c r="L59" s="28"/>
    </row>
    <row r="60" spans="2:14" x14ac:dyDescent="0.25">
      <c r="B60" s="8"/>
      <c r="C60" s="8"/>
      <c r="D60" s="8"/>
      <c r="E60" s="8">
        <v>3113</v>
      </c>
      <c r="F60" s="102" t="s">
        <v>131</v>
      </c>
      <c r="G60" s="69">
        <f>111505.09/7.5345</f>
        <v>14799.268697325635</v>
      </c>
      <c r="H60" s="69"/>
      <c r="I60" s="69"/>
      <c r="J60" s="71">
        <v>25169.38</v>
      </c>
      <c r="K60" s="28"/>
      <c r="L60" s="28"/>
    </row>
    <row r="61" spans="2:14" x14ac:dyDescent="0.25">
      <c r="B61" s="8"/>
      <c r="C61" s="8"/>
      <c r="D61" s="8"/>
      <c r="E61" s="8">
        <v>3114</v>
      </c>
      <c r="F61" s="102" t="s">
        <v>132</v>
      </c>
      <c r="G61" s="69">
        <f>109382.97/7.5345</f>
        <v>14517.614971132789</v>
      </c>
      <c r="H61" s="69"/>
      <c r="I61" s="69"/>
      <c r="J61" s="71">
        <v>18108.91</v>
      </c>
      <c r="K61" s="28"/>
      <c r="L61" s="28"/>
    </row>
    <row r="62" spans="2:14" x14ac:dyDescent="0.25">
      <c r="B62" s="8"/>
      <c r="C62" s="8"/>
      <c r="D62" s="8">
        <v>312</v>
      </c>
      <c r="E62" s="8"/>
      <c r="F62" s="103" t="s">
        <v>133</v>
      </c>
      <c r="G62" s="69">
        <f>+G63</f>
        <v>178099.62837613642</v>
      </c>
      <c r="H62" s="69"/>
      <c r="I62" s="69"/>
      <c r="J62" s="71">
        <f>+J63</f>
        <v>243169.3</v>
      </c>
      <c r="K62" s="28"/>
      <c r="L62" s="28"/>
    </row>
    <row r="63" spans="2:14" x14ac:dyDescent="0.25">
      <c r="B63" s="8"/>
      <c r="C63" s="8"/>
      <c r="D63" s="8"/>
      <c r="E63" s="8">
        <v>3121</v>
      </c>
      <c r="F63" s="102" t="s">
        <v>133</v>
      </c>
      <c r="G63" s="69">
        <f>1341891.65/7.5345</f>
        <v>178099.62837613642</v>
      </c>
      <c r="H63" s="69"/>
      <c r="I63" s="69"/>
      <c r="J63" s="71">
        <v>243169.3</v>
      </c>
      <c r="K63" s="28"/>
      <c r="L63" s="28"/>
    </row>
    <row r="64" spans="2:14" x14ac:dyDescent="0.25">
      <c r="B64" s="8"/>
      <c r="C64" s="8"/>
      <c r="D64" s="8">
        <v>313</v>
      </c>
      <c r="E64" s="8"/>
      <c r="F64" s="103" t="s">
        <v>134</v>
      </c>
      <c r="G64" s="69">
        <f>+G65+G66</f>
        <v>416295.47547946108</v>
      </c>
      <c r="H64" s="69"/>
      <c r="I64" s="69"/>
      <c r="J64" s="71">
        <f>+J65+J66</f>
        <v>483261.41000000003</v>
      </c>
      <c r="K64" s="28"/>
      <c r="L64" s="28"/>
    </row>
    <row r="65" spans="2:16" x14ac:dyDescent="0.25">
      <c r="B65" s="8"/>
      <c r="C65" s="8"/>
      <c r="D65" s="8"/>
      <c r="E65" s="8">
        <v>3132</v>
      </c>
      <c r="F65" s="102" t="s">
        <v>135</v>
      </c>
      <c r="G65" s="69">
        <f>3133623.57/7.5345</f>
        <v>415903.32072466647</v>
      </c>
      <c r="H65" s="69"/>
      <c r="I65" s="69"/>
      <c r="J65" s="71">
        <v>483192.32000000001</v>
      </c>
      <c r="K65" s="28"/>
      <c r="L65" s="28"/>
    </row>
    <row r="66" spans="2:16" ht="25.5" customHeight="1" x14ac:dyDescent="0.25">
      <c r="B66" s="8"/>
      <c r="C66" s="8"/>
      <c r="D66" s="8"/>
      <c r="E66" s="8">
        <v>3133</v>
      </c>
      <c r="F66" s="42" t="s">
        <v>220</v>
      </c>
      <c r="G66" s="69">
        <f>2954.69/7.5345</f>
        <v>392.15475479461145</v>
      </c>
      <c r="H66" s="69"/>
      <c r="I66" s="69"/>
      <c r="J66" s="71">
        <v>69.09</v>
      </c>
      <c r="K66" s="28"/>
      <c r="L66" s="28"/>
      <c r="N66" s="57"/>
      <c r="P66" s="57"/>
    </row>
    <row r="67" spans="2:16" x14ac:dyDescent="0.25">
      <c r="B67" s="8"/>
      <c r="C67" s="8">
        <v>32</v>
      </c>
      <c r="D67" s="9"/>
      <c r="E67" s="9"/>
      <c r="F67" s="23" t="s">
        <v>13</v>
      </c>
      <c r="G67" s="69">
        <f>+G68+G73+G79+G89+G91</f>
        <v>1148791.3181120181</v>
      </c>
      <c r="H67" s="69">
        <v>1304959.01</v>
      </c>
      <c r="I67" s="69">
        <v>1304959.01</v>
      </c>
      <c r="J67" s="71">
        <f>+J68+J73+J79+J89+J91</f>
        <v>1189666.1799999997</v>
      </c>
      <c r="K67" s="71">
        <f>+J67/G67*100</f>
        <v>103.55807545230734</v>
      </c>
      <c r="L67" s="71">
        <f>+J67/I67*100</f>
        <v>91.165022876848795</v>
      </c>
      <c r="N67" s="57"/>
      <c r="P67" s="57"/>
    </row>
    <row r="68" spans="2:16" x14ac:dyDescent="0.25">
      <c r="B68" s="8"/>
      <c r="C68" s="8"/>
      <c r="D68" s="8">
        <v>321</v>
      </c>
      <c r="E68" s="8"/>
      <c r="F68" s="23" t="s">
        <v>41</v>
      </c>
      <c r="G68" s="94">
        <f>+G69+G70+G71+G72</f>
        <v>118979.9885500033</v>
      </c>
      <c r="H68" s="69"/>
      <c r="I68" s="69"/>
      <c r="J68" s="71">
        <f>+J69+J70+J71</f>
        <v>139788.79</v>
      </c>
      <c r="K68" s="28"/>
      <c r="L68" s="28"/>
      <c r="N68" s="57"/>
    </row>
    <row r="69" spans="2:16" x14ac:dyDescent="0.25">
      <c r="B69" s="8"/>
      <c r="C69" s="18"/>
      <c r="D69" s="8"/>
      <c r="E69" s="8">
        <v>3211</v>
      </c>
      <c r="F69" s="23" t="s">
        <v>42</v>
      </c>
      <c r="G69" s="94">
        <f>178793.63/7.5345</f>
        <v>23729.992700245537</v>
      </c>
      <c r="H69" s="69"/>
      <c r="I69" s="69"/>
      <c r="J69" s="71">
        <v>41793.11</v>
      </c>
      <c r="K69" s="28"/>
      <c r="L69" s="28"/>
      <c r="N69" s="57"/>
      <c r="P69" s="57"/>
    </row>
    <row r="70" spans="2:16" x14ac:dyDescent="0.25">
      <c r="B70" s="8"/>
      <c r="C70" s="18"/>
      <c r="D70" s="8"/>
      <c r="E70" s="8">
        <v>3212</v>
      </c>
      <c r="F70" s="102" t="s">
        <v>205</v>
      </c>
      <c r="G70" s="94">
        <f>+(561934.45+4512)/7.5345</f>
        <v>75180.363660495044</v>
      </c>
      <c r="H70" s="69"/>
      <c r="I70" s="69"/>
      <c r="J70" s="71">
        <v>78604.81</v>
      </c>
      <c r="K70" s="28"/>
      <c r="L70" s="28"/>
    </row>
    <row r="71" spans="2:16" x14ac:dyDescent="0.25">
      <c r="B71" s="8"/>
      <c r="C71" s="18"/>
      <c r="D71" s="8"/>
      <c r="E71" s="8">
        <v>3213</v>
      </c>
      <c r="F71" s="102" t="s">
        <v>206</v>
      </c>
      <c r="G71" s="94">
        <f>+(52000+63061.7+19000+11152.92)/7.5345</f>
        <v>19273.292189262727</v>
      </c>
      <c r="H71" s="69"/>
      <c r="I71" s="69"/>
      <c r="J71" s="71">
        <v>19390.87</v>
      </c>
      <c r="K71" s="28"/>
      <c r="L71" s="28"/>
      <c r="P71" s="57"/>
    </row>
    <row r="72" spans="2:16" x14ac:dyDescent="0.25">
      <c r="B72" s="8"/>
      <c r="C72" s="18"/>
      <c r="D72" s="8"/>
      <c r="E72" s="8">
        <v>3214</v>
      </c>
      <c r="F72" s="102" t="s">
        <v>151</v>
      </c>
      <c r="G72" s="94">
        <v>796.34</v>
      </c>
      <c r="H72" s="69"/>
      <c r="I72" s="69"/>
      <c r="J72" s="71"/>
      <c r="K72" s="28"/>
      <c r="L72" s="28"/>
      <c r="P72" s="57"/>
    </row>
    <row r="73" spans="2:16" x14ac:dyDescent="0.25">
      <c r="B73" s="8"/>
      <c r="C73" s="18"/>
      <c r="D73" s="8">
        <v>322</v>
      </c>
      <c r="E73" s="8"/>
      <c r="F73" s="103" t="s">
        <v>96</v>
      </c>
      <c r="G73" s="94">
        <f>SUM(G74:G78)</f>
        <v>374924.72227752343</v>
      </c>
      <c r="H73" s="69"/>
      <c r="I73" s="69"/>
      <c r="J73" s="71">
        <f>+J74+J75+J76+J77+J78</f>
        <v>285423.02999999997</v>
      </c>
      <c r="K73" s="28"/>
      <c r="L73" s="28"/>
    </row>
    <row r="74" spans="2:16" x14ac:dyDescent="0.25">
      <c r="B74" s="8"/>
      <c r="C74" s="18"/>
      <c r="D74" s="8"/>
      <c r="E74" s="8">
        <v>3221</v>
      </c>
      <c r="F74" s="102" t="s">
        <v>207</v>
      </c>
      <c r="G74" s="94">
        <f>+(321400+120000+65321+6270.88)/7.5345</f>
        <v>68085.723007498833</v>
      </c>
      <c r="H74" s="69"/>
      <c r="I74" s="69"/>
      <c r="J74" s="71">
        <v>66792.210000000006</v>
      </c>
      <c r="K74" s="28"/>
      <c r="L74" s="28"/>
    </row>
    <row r="75" spans="2:16" x14ac:dyDescent="0.25">
      <c r="B75" s="8"/>
      <c r="C75" s="18"/>
      <c r="D75" s="8"/>
      <c r="E75" s="8">
        <v>3223</v>
      </c>
      <c r="F75" s="102" t="s">
        <v>137</v>
      </c>
      <c r="G75" s="94">
        <f>+(5000+2189120.9+1092.12)/7.5345</f>
        <v>291354.83708275267</v>
      </c>
      <c r="H75" s="69"/>
      <c r="I75" s="69"/>
      <c r="J75" s="71">
        <v>186182.77</v>
      </c>
      <c r="K75" s="28"/>
      <c r="L75" s="28"/>
    </row>
    <row r="76" spans="2:16" x14ac:dyDescent="0.25">
      <c r="B76" s="8"/>
      <c r="C76" s="18"/>
      <c r="D76" s="8"/>
      <c r="E76" s="8">
        <v>3224</v>
      </c>
      <c r="F76" s="102" t="s">
        <v>98</v>
      </c>
      <c r="G76" s="69">
        <f>+(2000+32000+15150)/7.5345</f>
        <v>6523.32603357887</v>
      </c>
      <c r="H76" s="69"/>
      <c r="I76" s="69"/>
      <c r="J76" s="71">
        <v>9407.6200000000008</v>
      </c>
      <c r="K76" s="28"/>
      <c r="L76" s="28"/>
    </row>
    <row r="77" spans="2:16" x14ac:dyDescent="0.25">
      <c r="B77" s="8"/>
      <c r="C77" s="18"/>
      <c r="D77" s="8"/>
      <c r="E77" s="8">
        <v>3225</v>
      </c>
      <c r="F77" s="102" t="s">
        <v>99</v>
      </c>
      <c r="G77" s="69">
        <f>+(15000+47000+110.42)/7.5345</f>
        <v>8243.469374211958</v>
      </c>
      <c r="H77" s="69"/>
      <c r="I77" s="69"/>
      <c r="J77" s="71">
        <v>16315.58</v>
      </c>
      <c r="K77" s="28"/>
      <c r="L77" s="28"/>
    </row>
    <row r="78" spans="2:16" x14ac:dyDescent="0.25">
      <c r="B78" s="8"/>
      <c r="C78" s="18"/>
      <c r="D78" s="8"/>
      <c r="E78" s="8">
        <v>3227</v>
      </c>
      <c r="F78" s="102" t="s">
        <v>208</v>
      </c>
      <c r="G78" s="69">
        <f>+(5000+405)/7.5345</f>
        <v>717.36677948105375</v>
      </c>
      <c r="H78" s="69"/>
      <c r="I78" s="69"/>
      <c r="J78" s="71">
        <v>6724.85</v>
      </c>
      <c r="K78" s="28"/>
      <c r="L78" s="28"/>
    </row>
    <row r="79" spans="2:16" x14ac:dyDescent="0.25">
      <c r="B79" s="8"/>
      <c r="C79" s="18"/>
      <c r="D79" s="8">
        <v>323</v>
      </c>
      <c r="E79" s="8"/>
      <c r="F79" s="103" t="s">
        <v>101</v>
      </c>
      <c r="G79" s="69">
        <f>SUM(G80:G88)</f>
        <v>604994.57827327622</v>
      </c>
      <c r="H79" s="69"/>
      <c r="I79" s="69"/>
      <c r="J79" s="71">
        <f>SUM(J80:J88)</f>
        <v>682694.85</v>
      </c>
      <c r="K79" s="28"/>
      <c r="L79" s="28"/>
    </row>
    <row r="80" spans="2:16" x14ac:dyDescent="0.25">
      <c r="B80" s="8"/>
      <c r="C80" s="18"/>
      <c r="D80" s="8"/>
      <c r="E80" s="8">
        <v>3231</v>
      </c>
      <c r="F80" s="102" t="s">
        <v>102</v>
      </c>
      <c r="G80" s="69">
        <f>+(20000+144650.7)/7.5345</f>
        <v>21852.903311434071</v>
      </c>
      <c r="H80" s="69"/>
      <c r="I80" s="69"/>
      <c r="J80" s="71">
        <f>23957.14-1060.38</f>
        <v>22896.76</v>
      </c>
      <c r="K80" s="28"/>
      <c r="L80" s="28"/>
      <c r="N80" s="57"/>
    </row>
    <row r="81" spans="2:14" x14ac:dyDescent="0.25">
      <c r="B81" s="8"/>
      <c r="C81" s="18"/>
      <c r="D81" s="8"/>
      <c r="E81" s="8">
        <v>3232</v>
      </c>
      <c r="F81" s="102" t="s">
        <v>103</v>
      </c>
      <c r="G81" s="69">
        <f>+(30000+727778+218901.64+25786.27+216948.25)/7.5345</f>
        <v>161844.07193576219</v>
      </c>
      <c r="H81" s="69"/>
      <c r="I81" s="69"/>
      <c r="J81" s="71">
        <v>230412.05</v>
      </c>
      <c r="K81" s="28"/>
      <c r="L81" s="28"/>
    </row>
    <row r="82" spans="2:14" x14ac:dyDescent="0.25">
      <c r="B82" s="8"/>
      <c r="C82" s="18"/>
      <c r="D82" s="8"/>
      <c r="E82" s="8">
        <v>3233</v>
      </c>
      <c r="F82" s="102" t="s">
        <v>104</v>
      </c>
      <c r="G82" s="69">
        <f>+(3565.68+26410.5+5946)/7.5345</f>
        <v>4767.6926139757115</v>
      </c>
      <c r="H82" s="69"/>
      <c r="I82" s="69"/>
      <c r="J82" s="71">
        <v>5195.22</v>
      </c>
      <c r="K82" s="28"/>
      <c r="L82" s="28"/>
    </row>
    <row r="83" spans="2:14" x14ac:dyDescent="0.25">
      <c r="B83" s="8"/>
      <c r="C83" s="18"/>
      <c r="D83" s="8"/>
      <c r="E83" s="8">
        <v>3234</v>
      </c>
      <c r="F83" s="102" t="s">
        <v>138</v>
      </c>
      <c r="G83" s="69">
        <f>336448.33/7.5345</f>
        <v>44654.367244010886</v>
      </c>
      <c r="H83" s="69"/>
      <c r="I83" s="69"/>
      <c r="J83" s="71">
        <v>55498.25</v>
      </c>
      <c r="K83" s="28"/>
      <c r="L83" s="28"/>
      <c r="N83" s="57"/>
    </row>
    <row r="84" spans="2:14" x14ac:dyDescent="0.25">
      <c r="B84" s="8"/>
      <c r="C84" s="18"/>
      <c r="D84" s="8"/>
      <c r="E84" s="8">
        <v>3235</v>
      </c>
      <c r="F84" s="102" t="s">
        <v>105</v>
      </c>
      <c r="G84" s="69">
        <f>+(35000+90221.82+16090.01)/7.5345</f>
        <v>18755.302939810208</v>
      </c>
      <c r="H84" s="69"/>
      <c r="I84" s="69"/>
      <c r="J84" s="71">
        <v>28572.74</v>
      </c>
      <c r="K84" s="28"/>
      <c r="L84" s="28"/>
    </row>
    <row r="85" spans="2:14" x14ac:dyDescent="0.25">
      <c r="B85" s="8"/>
      <c r="C85" s="18"/>
      <c r="D85" s="8"/>
      <c r="E85" s="8">
        <v>3236</v>
      </c>
      <c r="F85" s="102" t="s">
        <v>139</v>
      </c>
      <c r="G85" s="69">
        <f>(25886.2+5150)/7.5345</f>
        <v>4119.2116265180166</v>
      </c>
      <c r="H85" s="69"/>
      <c r="I85" s="69"/>
      <c r="J85" s="71">
        <v>10918.2</v>
      </c>
      <c r="K85" s="28"/>
      <c r="L85" s="28"/>
    </row>
    <row r="86" spans="2:14" x14ac:dyDescent="0.25">
      <c r="B86" s="8"/>
      <c r="C86" s="18"/>
      <c r="D86" s="8"/>
      <c r="E86" s="8">
        <v>3237</v>
      </c>
      <c r="F86" s="102" t="s">
        <v>106</v>
      </c>
      <c r="G86" s="69">
        <f>+(163000+1094010.38+80000+118584.48+51559.92)/7.5345</f>
        <v>200033.81511712784</v>
      </c>
      <c r="H86" s="69"/>
      <c r="I86" s="69"/>
      <c r="J86" s="71">
        <v>121909.65</v>
      </c>
      <c r="K86" s="28"/>
      <c r="L86" s="28"/>
      <c r="N86" s="57"/>
    </row>
    <row r="87" spans="2:14" x14ac:dyDescent="0.25">
      <c r="B87" s="8"/>
      <c r="C87" s="18"/>
      <c r="D87" s="8"/>
      <c r="E87" s="8">
        <v>3238</v>
      </c>
      <c r="F87" s="102" t="s">
        <v>107</v>
      </c>
      <c r="G87" s="69">
        <f>+(31600+130000+7662.5)/7.5345</f>
        <v>22464.994359280641</v>
      </c>
      <c r="H87" s="69"/>
      <c r="I87" s="69"/>
      <c r="J87" s="71">
        <v>25582.35</v>
      </c>
      <c r="K87" s="28"/>
      <c r="L87" s="28"/>
      <c r="N87" s="57"/>
    </row>
    <row r="88" spans="2:14" x14ac:dyDescent="0.25">
      <c r="B88" s="8"/>
      <c r="C88" s="18"/>
      <c r="D88" s="8"/>
      <c r="E88" s="8">
        <v>3239</v>
      </c>
      <c r="F88" s="102" t="s">
        <v>140</v>
      </c>
      <c r="G88" s="69">
        <f>+(440637.12+77691.71+434781.33+20.81)/7.5345</f>
        <v>126502.2191253567</v>
      </c>
      <c r="H88" s="69"/>
      <c r="I88" s="69"/>
      <c r="J88" s="71">
        <v>181709.63</v>
      </c>
      <c r="K88" s="28"/>
      <c r="L88" s="28"/>
    </row>
    <row r="89" spans="2:14" x14ac:dyDescent="0.25">
      <c r="B89" s="8"/>
      <c r="C89" s="18"/>
      <c r="D89" s="8">
        <v>324</v>
      </c>
      <c r="E89" s="8"/>
      <c r="F89" s="103" t="s">
        <v>152</v>
      </c>
      <c r="G89" s="69">
        <f>+G90</f>
        <v>2038.4099807551927</v>
      </c>
      <c r="H89" s="69"/>
      <c r="I89" s="69"/>
      <c r="J89" s="71">
        <f>+J90</f>
        <v>2157.38</v>
      </c>
      <c r="K89" s="28"/>
      <c r="L89" s="28"/>
    </row>
    <row r="90" spans="2:14" x14ac:dyDescent="0.25">
      <c r="B90" s="8"/>
      <c r="C90" s="18"/>
      <c r="D90" s="8"/>
      <c r="E90" s="8">
        <v>3241</v>
      </c>
      <c r="F90" s="102" t="s">
        <v>152</v>
      </c>
      <c r="G90" s="69">
        <f>15358.4/7.5345</f>
        <v>2038.4099807551927</v>
      </c>
      <c r="H90" s="69"/>
      <c r="I90" s="69"/>
      <c r="J90" s="71">
        <v>2157.38</v>
      </c>
      <c r="K90" s="28"/>
      <c r="L90" s="28"/>
    </row>
    <row r="91" spans="2:14" x14ac:dyDescent="0.25">
      <c r="B91" s="8"/>
      <c r="C91" s="18"/>
      <c r="D91" s="8">
        <v>329</v>
      </c>
      <c r="E91" s="8"/>
      <c r="F91" s="103" t="s">
        <v>109</v>
      </c>
      <c r="G91" s="69">
        <f>SUM(G92:G97)</f>
        <v>47853.619030459886</v>
      </c>
      <c r="H91" s="69"/>
      <c r="I91" s="69"/>
      <c r="J91" s="71">
        <f>SUM(J92:J97)</f>
        <v>79602.13</v>
      </c>
      <c r="K91" s="28"/>
      <c r="L91" s="28"/>
    </row>
    <row r="92" spans="2:14" x14ac:dyDescent="0.25">
      <c r="B92" s="8"/>
      <c r="C92" s="18"/>
      <c r="D92" s="8"/>
      <c r="E92" s="8">
        <v>3292</v>
      </c>
      <c r="F92" s="102" t="s">
        <v>110</v>
      </c>
      <c r="G92" s="69">
        <f>+(27684.29+58.8)/7.5345</f>
        <v>3682.1408188997279</v>
      </c>
      <c r="H92" s="69"/>
      <c r="I92" s="69"/>
      <c r="J92" s="71">
        <v>4435.99</v>
      </c>
      <c r="K92" s="28"/>
      <c r="L92" s="28"/>
    </row>
    <row r="93" spans="2:14" x14ac:dyDescent="0.25">
      <c r="B93" s="8"/>
      <c r="C93" s="18"/>
      <c r="D93" s="8"/>
      <c r="E93" s="8">
        <v>3293</v>
      </c>
      <c r="F93" s="102" t="s">
        <v>111</v>
      </c>
      <c r="G93" s="69">
        <f>+(24500+123482.76+2396.32)/7.5345-0.07</f>
        <v>19958.663824407726</v>
      </c>
      <c r="H93" s="69"/>
      <c r="I93" s="69"/>
      <c r="J93" s="71">
        <v>35148.15</v>
      </c>
      <c r="K93" s="28"/>
      <c r="L93" s="28"/>
    </row>
    <row r="94" spans="2:14" x14ac:dyDescent="0.25">
      <c r="B94" s="8"/>
      <c r="C94" s="18"/>
      <c r="D94" s="8"/>
      <c r="E94" s="8">
        <v>3294</v>
      </c>
      <c r="F94" s="102" t="s">
        <v>112</v>
      </c>
      <c r="G94" s="69">
        <f>+(11000+67000+175.53)/7.5345</f>
        <v>10375.67589090185</v>
      </c>
      <c r="H94" s="69"/>
      <c r="I94" s="69"/>
      <c r="J94" s="71">
        <v>10779.22</v>
      </c>
      <c r="K94" s="28"/>
      <c r="L94" s="28"/>
    </row>
    <row r="95" spans="2:14" x14ac:dyDescent="0.25">
      <c r="B95" s="8"/>
      <c r="C95" s="18"/>
      <c r="D95" s="8"/>
      <c r="E95" s="8">
        <v>3295</v>
      </c>
      <c r="F95" s="102" t="s">
        <v>142</v>
      </c>
      <c r="G95" s="69">
        <f>+(60807.5+9.08)/7.5345</f>
        <v>8071.7472957727787</v>
      </c>
      <c r="H95" s="69"/>
      <c r="I95" s="69"/>
      <c r="J95" s="71">
        <v>8513.74</v>
      </c>
      <c r="K95" s="28"/>
      <c r="L95" s="28"/>
    </row>
    <row r="96" spans="2:14" x14ac:dyDescent="0.25">
      <c r="B96" s="8"/>
      <c r="C96" s="18"/>
      <c r="D96" s="8"/>
      <c r="E96" s="8">
        <v>3296</v>
      </c>
      <c r="F96" s="102" t="s">
        <v>143</v>
      </c>
      <c r="G96" s="69">
        <f>41081.25/7.5345</f>
        <v>5452.4188731833565</v>
      </c>
      <c r="H96" s="69"/>
      <c r="I96" s="69"/>
      <c r="J96" s="71">
        <v>4837.12</v>
      </c>
      <c r="K96" s="28"/>
      <c r="L96" s="28"/>
    </row>
    <row r="97" spans="2:14" x14ac:dyDescent="0.25">
      <c r="B97" s="8"/>
      <c r="C97" s="18"/>
      <c r="D97" s="8"/>
      <c r="E97" s="8">
        <v>3299</v>
      </c>
      <c r="F97" s="102" t="s">
        <v>109</v>
      </c>
      <c r="G97" s="69">
        <f>+(2000+358.09)/7.5345</f>
        <v>312.97232729444556</v>
      </c>
      <c r="H97" s="69"/>
      <c r="I97" s="69"/>
      <c r="J97" s="71">
        <v>15887.91</v>
      </c>
      <c r="K97" s="28"/>
      <c r="L97" s="28"/>
    </row>
    <row r="98" spans="2:14" x14ac:dyDescent="0.25">
      <c r="B98" s="8"/>
      <c r="C98" s="18">
        <v>34</v>
      </c>
      <c r="D98" s="9"/>
      <c r="E98" s="9"/>
      <c r="F98" s="14" t="s">
        <v>144</v>
      </c>
      <c r="G98" s="69">
        <f>+G99</f>
        <v>7209.833432875439</v>
      </c>
      <c r="H98" s="69">
        <v>5413</v>
      </c>
      <c r="I98" s="69">
        <v>5413</v>
      </c>
      <c r="J98" s="71">
        <f>+J99</f>
        <v>4571.5200000000004</v>
      </c>
      <c r="K98" s="71">
        <f>+J98/G98*100</f>
        <v>63.406735295086811</v>
      </c>
      <c r="L98" s="71">
        <f>+J98/I98*100</f>
        <v>84.454461481618338</v>
      </c>
    </row>
    <row r="99" spans="2:14" x14ac:dyDescent="0.25">
      <c r="B99" s="8"/>
      <c r="C99" s="18"/>
      <c r="D99" s="9">
        <v>343</v>
      </c>
      <c r="E99" s="9"/>
      <c r="F99" s="103" t="s">
        <v>145</v>
      </c>
      <c r="G99" s="69">
        <f>+G100+G101+G102</f>
        <v>7209.833432875439</v>
      </c>
      <c r="H99" s="69"/>
      <c r="I99" s="69"/>
      <c r="J99" s="71">
        <f>+J100+J101+J102</f>
        <v>4571.5200000000004</v>
      </c>
      <c r="K99" s="28"/>
      <c r="L99" s="28"/>
    </row>
    <row r="100" spans="2:14" x14ac:dyDescent="0.25">
      <c r="B100" s="8"/>
      <c r="C100" s="18"/>
      <c r="D100" s="9"/>
      <c r="E100" s="9">
        <v>3431</v>
      </c>
      <c r="F100" s="102" t="s">
        <v>146</v>
      </c>
      <c r="G100" s="69">
        <f>+(25000+1606.06)/7.5345</f>
        <v>3531.2310040480456</v>
      </c>
      <c r="H100" s="69"/>
      <c r="I100" s="69"/>
      <c r="J100" s="71">
        <v>3802.86</v>
      </c>
      <c r="K100" s="28"/>
      <c r="L100" s="28"/>
    </row>
    <row r="101" spans="2:14" x14ac:dyDescent="0.25">
      <c r="B101" s="8"/>
      <c r="C101" s="18"/>
      <c r="D101" s="9"/>
      <c r="E101" s="9">
        <v>3432</v>
      </c>
      <c r="F101" s="102" t="s">
        <v>209</v>
      </c>
      <c r="G101" s="69">
        <f>808.18/7.5345</f>
        <v>107.26391930453246</v>
      </c>
      <c r="H101" s="69"/>
      <c r="I101" s="69"/>
      <c r="J101" s="71">
        <v>49.53</v>
      </c>
      <c r="K101" s="28"/>
      <c r="L101" s="28"/>
    </row>
    <row r="102" spans="2:14" x14ac:dyDescent="0.25">
      <c r="B102" s="8"/>
      <c r="C102" s="18"/>
      <c r="D102" s="9"/>
      <c r="E102" s="9">
        <v>3433</v>
      </c>
      <c r="F102" s="102" t="s">
        <v>147</v>
      </c>
      <c r="G102" s="69">
        <f>+(26685.6+222.65)/7.5345</f>
        <v>3571.3385095228614</v>
      </c>
      <c r="H102" s="69"/>
      <c r="I102" s="69"/>
      <c r="J102" s="71">
        <v>719.13</v>
      </c>
      <c r="K102" s="28"/>
      <c r="L102" s="28"/>
    </row>
    <row r="103" spans="2:14" x14ac:dyDescent="0.25">
      <c r="B103" s="8"/>
      <c r="C103" s="18">
        <v>37</v>
      </c>
      <c r="D103" s="9"/>
      <c r="E103" s="9"/>
      <c r="F103" s="102" t="s">
        <v>211</v>
      </c>
      <c r="G103" s="69">
        <f>+G104</f>
        <v>1725.4</v>
      </c>
      <c r="H103" s="69">
        <v>1300</v>
      </c>
      <c r="I103" s="69">
        <v>1300</v>
      </c>
      <c r="J103" s="71">
        <f>+J104</f>
        <v>2805</v>
      </c>
      <c r="K103" s="71">
        <f>+J103/G103*100</f>
        <v>162.57099802944245</v>
      </c>
      <c r="L103" s="71">
        <f>+J103/I103*100</f>
        <v>215.76923076923075</v>
      </c>
    </row>
    <row r="104" spans="2:14" x14ac:dyDescent="0.25">
      <c r="B104" s="8"/>
      <c r="C104" s="18"/>
      <c r="D104" s="9">
        <v>372</v>
      </c>
      <c r="E104" s="9"/>
      <c r="F104" s="103" t="s">
        <v>157</v>
      </c>
      <c r="G104" s="69">
        <f>+G105</f>
        <v>1725.4</v>
      </c>
      <c r="H104" s="69"/>
      <c r="I104" s="69"/>
      <c r="J104" s="71">
        <f>+J105</f>
        <v>2805</v>
      </c>
      <c r="K104" s="28"/>
      <c r="L104" s="28"/>
    </row>
    <row r="105" spans="2:14" x14ac:dyDescent="0.25">
      <c r="B105" s="8"/>
      <c r="C105" s="8"/>
      <c r="D105" s="9"/>
      <c r="E105" s="9">
        <v>3721</v>
      </c>
      <c r="F105" s="102" t="s">
        <v>210</v>
      </c>
      <c r="G105" s="69">
        <v>1725.4</v>
      </c>
      <c r="H105" s="69"/>
      <c r="I105" s="69"/>
      <c r="J105" s="71">
        <v>2805</v>
      </c>
      <c r="K105" s="28"/>
      <c r="L105" s="28"/>
    </row>
    <row r="106" spans="2:14" x14ac:dyDescent="0.25">
      <c r="B106" s="8"/>
      <c r="C106" s="8">
        <v>38</v>
      </c>
      <c r="D106" s="9"/>
      <c r="E106" s="9"/>
      <c r="F106" s="14" t="s">
        <v>212</v>
      </c>
      <c r="G106" s="69">
        <f>+G107</f>
        <v>265.45</v>
      </c>
      <c r="H106" s="69"/>
      <c r="I106" s="69"/>
      <c r="J106" s="71"/>
      <c r="K106" s="28"/>
      <c r="L106" s="28"/>
    </row>
    <row r="107" spans="2:14" x14ac:dyDescent="0.25">
      <c r="B107" s="8"/>
      <c r="C107" s="8"/>
      <c r="D107" s="9">
        <v>383</v>
      </c>
      <c r="E107" s="9"/>
      <c r="F107" s="103" t="s">
        <v>213</v>
      </c>
      <c r="G107" s="69">
        <f>+G108</f>
        <v>265.45</v>
      </c>
      <c r="H107" s="69"/>
      <c r="I107" s="69"/>
      <c r="J107" s="71"/>
      <c r="K107" s="28"/>
      <c r="L107" s="28"/>
    </row>
    <row r="108" spans="2:14" x14ac:dyDescent="0.25">
      <c r="B108" s="8"/>
      <c r="C108" s="8"/>
      <c r="D108" s="9"/>
      <c r="E108" s="9">
        <v>3835</v>
      </c>
      <c r="F108" s="102" t="s">
        <v>214</v>
      </c>
      <c r="G108" s="69">
        <v>265.45</v>
      </c>
      <c r="H108" s="69"/>
      <c r="I108" s="69"/>
      <c r="J108" s="71"/>
      <c r="K108" s="28"/>
      <c r="L108" s="28"/>
    </row>
    <row r="109" spans="2:14" x14ac:dyDescent="0.25">
      <c r="B109" s="10">
        <v>4</v>
      </c>
      <c r="C109" s="11"/>
      <c r="D109" s="11"/>
      <c r="E109" s="11"/>
      <c r="F109" s="16" t="s">
        <v>6</v>
      </c>
      <c r="G109" s="74">
        <f>+G110+G115+G128</f>
        <v>512102.00411440706</v>
      </c>
      <c r="H109" s="74">
        <f>+H110+H115+H128+H131</f>
        <v>4398069.28</v>
      </c>
      <c r="I109" s="74">
        <f>+I110+I115+I128+I131</f>
        <v>4398069.28</v>
      </c>
      <c r="J109" s="107">
        <f>+J110+J115+J128+J131</f>
        <v>9664642.5300000012</v>
      </c>
      <c r="K109" s="107">
        <f t="shared" ref="K109:K110" si="4">+J109/G109*100</f>
        <v>1887.2495034877575</v>
      </c>
      <c r="L109" s="107">
        <f t="shared" ref="L109:L110" si="5">+J109/I109*100</f>
        <v>219.74739174640746</v>
      </c>
    </row>
    <row r="110" spans="2:14" x14ac:dyDescent="0.25">
      <c r="B110" s="12"/>
      <c r="C110" s="12">
        <v>41</v>
      </c>
      <c r="D110" s="12"/>
      <c r="E110" s="12"/>
      <c r="F110" s="17" t="s">
        <v>7</v>
      </c>
      <c r="G110" s="69">
        <f>+G111+G113</f>
        <v>60459.220917114602</v>
      </c>
      <c r="H110" s="69">
        <v>14632.72</v>
      </c>
      <c r="I110" s="69">
        <v>14632.72</v>
      </c>
      <c r="J110" s="71">
        <f>+J111+J113</f>
        <v>13531.14</v>
      </c>
      <c r="K110" s="71">
        <f t="shared" si="4"/>
        <v>22.380605960090445</v>
      </c>
      <c r="L110" s="71">
        <f t="shared" si="5"/>
        <v>92.471802918391106</v>
      </c>
      <c r="N110" s="57"/>
    </row>
    <row r="111" spans="2:14" x14ac:dyDescent="0.25">
      <c r="B111" s="12"/>
      <c r="C111" s="12"/>
      <c r="D111" s="8">
        <v>411</v>
      </c>
      <c r="E111" s="8"/>
      <c r="F111" s="23" t="s">
        <v>43</v>
      </c>
      <c r="G111" s="69">
        <f>+G112</f>
        <v>29030.459884531156</v>
      </c>
      <c r="H111" s="69"/>
      <c r="I111" s="69"/>
      <c r="J111" s="71">
        <f>+J112</f>
        <v>12300.39</v>
      </c>
      <c r="K111" s="28"/>
      <c r="L111" s="28"/>
    </row>
    <row r="112" spans="2:14" x14ac:dyDescent="0.25">
      <c r="B112" s="12"/>
      <c r="C112" s="12"/>
      <c r="D112" s="8"/>
      <c r="E112" s="8">
        <v>4111</v>
      </c>
      <c r="F112" s="23" t="s">
        <v>44</v>
      </c>
      <c r="G112" s="69">
        <f>218730/7.5345</f>
        <v>29030.459884531156</v>
      </c>
      <c r="H112" s="69"/>
      <c r="I112" s="69"/>
      <c r="J112" s="71">
        <v>12300.39</v>
      </c>
      <c r="K112" s="28"/>
      <c r="L112" s="28"/>
    </row>
    <row r="113" spans="2:12" x14ac:dyDescent="0.25">
      <c r="B113" s="12"/>
      <c r="C113" s="12"/>
      <c r="D113" s="8">
        <v>412</v>
      </c>
      <c r="E113" s="8"/>
      <c r="F113" s="104" t="s">
        <v>113</v>
      </c>
      <c r="G113" s="69">
        <f>+G114</f>
        <v>31428.761032583447</v>
      </c>
      <c r="H113" s="69"/>
      <c r="I113" s="69"/>
      <c r="J113" s="71">
        <f>+J114</f>
        <v>1230.75</v>
      </c>
      <c r="K113" s="28"/>
      <c r="L113" s="28"/>
    </row>
    <row r="114" spans="2:12" x14ac:dyDescent="0.25">
      <c r="B114" s="12"/>
      <c r="C114" s="12"/>
      <c r="D114" s="8"/>
      <c r="E114" s="8">
        <v>4123</v>
      </c>
      <c r="F114" s="102" t="s">
        <v>114</v>
      </c>
      <c r="G114" s="69">
        <f>(120000+116800)/7.5345</f>
        <v>31428.761032583447</v>
      </c>
      <c r="H114" s="69"/>
      <c r="I114" s="69"/>
      <c r="J114" s="71">
        <v>1230.75</v>
      </c>
      <c r="K114" s="28"/>
      <c r="L114" s="28"/>
    </row>
    <row r="115" spans="2:12" x14ac:dyDescent="0.25">
      <c r="B115" s="12"/>
      <c r="C115" s="12">
        <v>42</v>
      </c>
      <c r="D115" s="8"/>
      <c r="E115" s="8"/>
      <c r="F115" s="17" t="s">
        <v>115</v>
      </c>
      <c r="G115" s="105">
        <f>+G116+G126</f>
        <v>428408.65219988057</v>
      </c>
      <c r="H115" s="69">
        <v>339643.44</v>
      </c>
      <c r="I115" s="69">
        <v>339643.44</v>
      </c>
      <c r="J115" s="71">
        <f>+J116+J122+J124+J126</f>
        <v>447097.23</v>
      </c>
      <c r="K115" s="71">
        <f>+J115/G115*100</f>
        <v>104.36232501471514</v>
      </c>
      <c r="L115" s="71">
        <f>+J115/I115*100</f>
        <v>131.63723403578763</v>
      </c>
    </row>
    <row r="116" spans="2:12" x14ac:dyDescent="0.25">
      <c r="B116" s="12"/>
      <c r="C116" s="12"/>
      <c r="D116" s="8">
        <v>422</v>
      </c>
      <c r="E116" s="8"/>
      <c r="F116" s="103" t="s">
        <v>116</v>
      </c>
      <c r="G116" s="105">
        <f>+G117+G118+G119+G120+G121</f>
        <v>425289.66620213684</v>
      </c>
      <c r="H116" s="69"/>
      <c r="I116" s="69"/>
      <c r="J116" s="71">
        <f>SUM(J117:J121)</f>
        <v>400869.5</v>
      </c>
      <c r="K116" s="28"/>
      <c r="L116" s="28"/>
    </row>
    <row r="117" spans="2:12" x14ac:dyDescent="0.25">
      <c r="B117" s="12"/>
      <c r="C117" s="12"/>
      <c r="D117" s="8"/>
      <c r="E117" s="8">
        <v>4221</v>
      </c>
      <c r="F117" s="102" t="s">
        <v>117</v>
      </c>
      <c r="G117" s="105">
        <f>(1703715+907065.08+192730.97)/7.5345</f>
        <v>372089.85997743713</v>
      </c>
      <c r="H117" s="69"/>
      <c r="I117" s="69"/>
      <c r="J117" s="71">
        <v>353163.26</v>
      </c>
      <c r="K117" s="28"/>
      <c r="L117" s="28"/>
    </row>
    <row r="118" spans="2:12" x14ac:dyDescent="0.25">
      <c r="B118" s="12"/>
      <c r="C118" s="12"/>
      <c r="D118" s="8"/>
      <c r="E118" s="8">
        <v>4222</v>
      </c>
      <c r="F118" s="102" t="s">
        <v>159</v>
      </c>
      <c r="G118" s="105"/>
      <c r="H118" s="69"/>
      <c r="I118" s="69"/>
      <c r="J118" s="71">
        <v>3036</v>
      </c>
      <c r="K118" s="28"/>
      <c r="L118" s="28"/>
    </row>
    <row r="119" spans="2:12" x14ac:dyDescent="0.25">
      <c r="B119" s="12"/>
      <c r="C119" s="12"/>
      <c r="D119" s="8"/>
      <c r="E119" s="8">
        <v>4223</v>
      </c>
      <c r="F119" s="102" t="s">
        <v>118</v>
      </c>
      <c r="G119" s="105">
        <f>(34000+85893.5)/7.5345</f>
        <v>15912.602030658967</v>
      </c>
      <c r="H119" s="69"/>
      <c r="I119" s="69"/>
      <c r="J119" s="71">
        <v>31043.040000000001</v>
      </c>
      <c r="K119" s="28"/>
      <c r="L119" s="28"/>
    </row>
    <row r="120" spans="2:12" x14ac:dyDescent="0.25">
      <c r="B120" s="12"/>
      <c r="C120" s="12"/>
      <c r="D120" s="8"/>
      <c r="E120" s="8">
        <v>4225</v>
      </c>
      <c r="F120" s="102" t="s">
        <v>215</v>
      </c>
      <c r="G120" s="105">
        <f>99724.14/7.5345</f>
        <v>13235.667927533346</v>
      </c>
      <c r="H120" s="69"/>
      <c r="I120" s="69"/>
      <c r="J120" s="71">
        <v>8695.39</v>
      </c>
      <c r="K120" s="28"/>
      <c r="L120" s="28"/>
    </row>
    <row r="121" spans="2:12" x14ac:dyDescent="0.25">
      <c r="B121" s="12"/>
      <c r="C121" s="12"/>
      <c r="D121" s="8"/>
      <c r="E121" s="8">
        <v>4227</v>
      </c>
      <c r="F121" s="102" t="s">
        <v>120</v>
      </c>
      <c r="G121" s="105">
        <f>(16000+165216.3)/7.5345</f>
        <v>24051.536266507395</v>
      </c>
      <c r="H121" s="69"/>
      <c r="I121" s="69"/>
      <c r="J121" s="71">
        <v>4931.8100000000004</v>
      </c>
      <c r="K121" s="28"/>
      <c r="L121" s="28"/>
    </row>
    <row r="122" spans="2:12" x14ac:dyDescent="0.25">
      <c r="B122" s="12"/>
      <c r="C122" s="12"/>
      <c r="D122" s="8">
        <v>423</v>
      </c>
      <c r="E122" s="8"/>
      <c r="F122" s="23" t="s">
        <v>217</v>
      </c>
      <c r="G122" s="105"/>
      <c r="H122" s="69"/>
      <c r="I122" s="69"/>
      <c r="J122" s="71">
        <f>+J123</f>
        <v>30351.49</v>
      </c>
      <c r="K122" s="28"/>
      <c r="L122" s="28"/>
    </row>
    <row r="123" spans="2:12" x14ac:dyDescent="0.25">
      <c r="B123" s="12"/>
      <c r="C123" s="12"/>
      <c r="D123" s="8"/>
      <c r="E123" s="8">
        <v>4231</v>
      </c>
      <c r="F123" s="23" t="s">
        <v>218</v>
      </c>
      <c r="G123" s="105"/>
      <c r="H123" s="69"/>
      <c r="I123" s="69"/>
      <c r="J123" s="71">
        <v>30351.49</v>
      </c>
      <c r="K123" s="28"/>
      <c r="L123" s="28"/>
    </row>
    <row r="124" spans="2:12" x14ac:dyDescent="0.25">
      <c r="B124" s="12"/>
      <c r="C124" s="12"/>
      <c r="D124" s="8">
        <v>424</v>
      </c>
      <c r="E124" s="8"/>
      <c r="F124" s="23" t="s">
        <v>121</v>
      </c>
      <c r="G124" s="105"/>
      <c r="H124" s="69"/>
      <c r="I124" s="69"/>
      <c r="J124" s="71">
        <f>+J125</f>
        <v>5507.39</v>
      </c>
      <c r="K124" s="28"/>
      <c r="L124" s="28"/>
    </row>
    <row r="125" spans="2:12" x14ac:dyDescent="0.25">
      <c r="B125" s="12"/>
      <c r="C125" s="12"/>
      <c r="D125" s="8"/>
      <c r="E125" s="8">
        <v>4241</v>
      </c>
      <c r="F125" s="23" t="s">
        <v>122</v>
      </c>
      <c r="G125" s="105"/>
      <c r="H125" s="69"/>
      <c r="I125" s="69"/>
      <c r="J125" s="71">
        <v>5507.39</v>
      </c>
      <c r="K125" s="28"/>
      <c r="L125" s="28"/>
    </row>
    <row r="126" spans="2:12" x14ac:dyDescent="0.25">
      <c r="B126" s="12"/>
      <c r="C126" s="12"/>
      <c r="D126" s="8">
        <v>426</v>
      </c>
      <c r="E126" s="8"/>
      <c r="F126" s="103" t="s">
        <v>160</v>
      </c>
      <c r="G126" s="105">
        <f>+G127</f>
        <v>3118.9859977437122</v>
      </c>
      <c r="H126" s="69"/>
      <c r="I126" s="69"/>
      <c r="J126" s="71">
        <f>+J127</f>
        <v>10368.85</v>
      </c>
      <c r="K126" s="28"/>
      <c r="L126" s="28"/>
    </row>
    <row r="127" spans="2:12" x14ac:dyDescent="0.25">
      <c r="B127" s="12"/>
      <c r="C127" s="12"/>
      <c r="D127" s="8"/>
      <c r="E127" s="8">
        <v>4262</v>
      </c>
      <c r="F127" s="102" t="s">
        <v>161</v>
      </c>
      <c r="G127" s="105">
        <f>(20000+3500)/7.5345</f>
        <v>3118.9859977437122</v>
      </c>
      <c r="H127" s="69"/>
      <c r="I127" s="69"/>
      <c r="J127" s="71">
        <v>10368.85</v>
      </c>
      <c r="K127" s="28"/>
      <c r="L127" s="28"/>
    </row>
    <row r="128" spans="2:12" ht="25.5" x14ac:dyDescent="0.25">
      <c r="B128" s="12"/>
      <c r="C128" s="12">
        <v>43</v>
      </c>
      <c r="D128" s="8"/>
      <c r="E128" s="8"/>
      <c r="F128" s="23" t="s">
        <v>123</v>
      </c>
      <c r="G128" s="105">
        <f>+G129</f>
        <v>23234.130997411903</v>
      </c>
      <c r="H128" s="69">
        <v>120735.65</v>
      </c>
      <c r="I128" s="69">
        <v>120735.65</v>
      </c>
      <c r="J128" s="71">
        <f>+J129</f>
        <v>199614.1</v>
      </c>
      <c r="K128" s="71">
        <f>+J128/G128*100</f>
        <v>859.14166543278691</v>
      </c>
      <c r="L128" s="71">
        <f>+J128/I128*100</f>
        <v>165.33153215309648</v>
      </c>
    </row>
    <row r="129" spans="2:12" x14ac:dyDescent="0.25">
      <c r="B129" s="12"/>
      <c r="C129" s="12"/>
      <c r="D129" s="8">
        <v>431</v>
      </c>
      <c r="E129" s="8"/>
      <c r="F129" s="103" t="s">
        <v>124</v>
      </c>
      <c r="G129" s="105">
        <f>+G130</f>
        <v>23234.130997411903</v>
      </c>
      <c r="H129" s="69"/>
      <c r="I129" s="69"/>
      <c r="J129" s="71">
        <f>+J130</f>
        <v>199614.1</v>
      </c>
      <c r="K129" s="28"/>
      <c r="L129" s="28"/>
    </row>
    <row r="130" spans="2:12" x14ac:dyDescent="0.25">
      <c r="B130" s="12"/>
      <c r="C130" s="12"/>
      <c r="D130" s="8"/>
      <c r="E130" s="8">
        <v>4312</v>
      </c>
      <c r="F130" s="102" t="s">
        <v>216</v>
      </c>
      <c r="G130" s="105">
        <f>(144000+16657.56+14400)/7.5345</f>
        <v>23234.130997411903</v>
      </c>
      <c r="H130" s="69"/>
      <c r="I130" s="69"/>
      <c r="J130" s="71">
        <f>21205.65+178408.45</f>
        <v>199614.1</v>
      </c>
      <c r="K130" s="28"/>
      <c r="L130" s="28"/>
    </row>
    <row r="131" spans="2:12" x14ac:dyDescent="0.25">
      <c r="B131" s="12"/>
      <c r="C131" s="12">
        <v>45</v>
      </c>
      <c r="D131" s="8"/>
      <c r="E131" s="8"/>
      <c r="F131" s="23" t="s">
        <v>219</v>
      </c>
      <c r="G131" s="105"/>
      <c r="H131" s="69">
        <v>3923057.47</v>
      </c>
      <c r="I131" s="69">
        <v>3923057.47</v>
      </c>
      <c r="J131" s="71">
        <f>+J132</f>
        <v>9004400.0600000005</v>
      </c>
      <c r="K131" s="71"/>
      <c r="L131" s="28"/>
    </row>
    <row r="132" spans="2:12" x14ac:dyDescent="0.25">
      <c r="B132" s="12"/>
      <c r="C132" s="12"/>
      <c r="D132" s="8">
        <v>451</v>
      </c>
      <c r="E132" s="8"/>
      <c r="F132" s="103" t="s">
        <v>127</v>
      </c>
      <c r="G132" s="105"/>
      <c r="H132" s="69"/>
      <c r="I132" s="69"/>
      <c r="J132" s="71">
        <f>+J133</f>
        <v>9004400.0600000005</v>
      </c>
      <c r="K132" s="28"/>
      <c r="L132" s="28"/>
    </row>
    <row r="133" spans="2:12" x14ac:dyDescent="0.25">
      <c r="B133" s="12"/>
      <c r="C133" s="12"/>
      <c r="D133" s="8"/>
      <c r="E133" s="8">
        <v>4511</v>
      </c>
      <c r="F133" s="102" t="s">
        <v>127</v>
      </c>
      <c r="G133" s="105"/>
      <c r="H133" s="69"/>
      <c r="I133" s="69"/>
      <c r="J133" s="71">
        <v>9004400.0600000005</v>
      </c>
      <c r="K133" s="28"/>
      <c r="L133" s="28"/>
    </row>
    <row r="134" spans="2:12" x14ac:dyDescent="0.25">
      <c r="F134" s="106"/>
    </row>
    <row r="136" spans="2:12" ht="15" customHeight="1" x14ac:dyDescent="0.25">
      <c r="B136" s="30"/>
      <c r="C136" s="30"/>
      <c r="D136" s="30"/>
      <c r="E136" s="30"/>
      <c r="F136" s="30"/>
      <c r="G136" s="30"/>
      <c r="H136" s="30"/>
      <c r="I136" s="30"/>
      <c r="J136" s="30"/>
      <c r="K136" s="30"/>
      <c r="L136" s="30"/>
    </row>
    <row r="137" spans="2:12" x14ac:dyDescent="0.25">
      <c r="B137" s="30"/>
      <c r="C137" s="30"/>
      <c r="D137" s="30"/>
      <c r="E137" s="30"/>
      <c r="F137" s="30"/>
      <c r="G137" s="30"/>
      <c r="H137" s="30"/>
      <c r="I137" s="30"/>
      <c r="J137" s="30"/>
      <c r="K137" s="30"/>
      <c r="L137" s="30"/>
    </row>
    <row r="138" spans="2:12" ht="4.5" customHeight="1" x14ac:dyDescent="0.25">
      <c r="B138" s="30"/>
      <c r="C138" s="30"/>
      <c r="D138" s="30"/>
      <c r="E138" s="30"/>
      <c r="F138" s="30"/>
      <c r="G138" s="30"/>
      <c r="H138" s="30"/>
      <c r="I138" s="30"/>
      <c r="J138" s="30"/>
      <c r="K138" s="30"/>
      <c r="L138" s="30"/>
    </row>
  </sheetData>
  <mergeCells count="12">
    <mergeCell ref="B1:L1"/>
    <mergeCell ref="B2:L2"/>
    <mergeCell ref="B4:L4"/>
    <mergeCell ref="B6:L6"/>
    <mergeCell ref="B53:F53"/>
    <mergeCell ref="B9:F9"/>
    <mergeCell ref="B52:F52"/>
    <mergeCell ref="B8:F8"/>
    <mergeCell ref="B7:L7"/>
    <mergeCell ref="B5:L5"/>
    <mergeCell ref="B51:L51"/>
    <mergeCell ref="B3:L3"/>
  </mergeCells>
  <pageMargins left="0.7" right="0.7" top="0.75" bottom="0.75" header="0.3" footer="0.3"/>
  <pageSetup paperSize="9" scale="83" fitToHeight="0" orientation="landscape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40"/>
  <sheetViews>
    <sheetView topLeftCell="A19" workbookViewId="0">
      <selection activeCell="F5" sqref="F5"/>
    </sheetView>
  </sheetViews>
  <sheetFormatPr defaultRowHeight="15" x14ac:dyDescent="0.25"/>
  <cols>
    <col min="2" max="2" width="37.7109375" customWidth="1"/>
    <col min="3" max="5" width="25.28515625" customWidth="1"/>
    <col min="6" max="6" width="26.85546875" customWidth="1"/>
    <col min="7" max="8" width="15.7109375" customWidth="1"/>
    <col min="10" max="11" width="12.7109375" bestFit="1" customWidth="1"/>
  </cols>
  <sheetData>
    <row r="1" spans="2:10" ht="18" x14ac:dyDescent="0.25">
      <c r="B1" s="3"/>
      <c r="C1" s="3"/>
      <c r="D1" s="3"/>
      <c r="E1" s="3"/>
      <c r="F1" s="4"/>
      <c r="G1" s="4"/>
      <c r="H1" s="4"/>
    </row>
    <row r="2" spans="2:10" ht="15.75" customHeight="1" x14ac:dyDescent="0.25">
      <c r="B2" s="115" t="s">
        <v>48</v>
      </c>
      <c r="C2" s="115"/>
      <c r="D2" s="115"/>
      <c r="E2" s="115"/>
      <c r="F2" s="115"/>
      <c r="G2" s="115"/>
      <c r="H2" s="115"/>
    </row>
    <row r="3" spans="2:10" ht="18" x14ac:dyDescent="0.25">
      <c r="B3" s="49"/>
      <c r="C3" s="49"/>
      <c r="D3" s="49"/>
      <c r="E3" s="49"/>
      <c r="F3" s="50"/>
      <c r="G3" s="50"/>
      <c r="H3" s="50"/>
    </row>
    <row r="4" spans="2:10" ht="33.75" customHeight="1" x14ac:dyDescent="0.25">
      <c r="B4" s="35" t="s">
        <v>8</v>
      </c>
      <c r="C4" s="35" t="s">
        <v>224</v>
      </c>
      <c r="D4" s="35" t="s">
        <v>227</v>
      </c>
      <c r="E4" s="35" t="s">
        <v>228</v>
      </c>
      <c r="F4" s="35" t="s">
        <v>230</v>
      </c>
      <c r="G4" s="35" t="s">
        <v>30</v>
      </c>
      <c r="H4" s="35" t="s">
        <v>62</v>
      </c>
    </row>
    <row r="5" spans="2:10" x14ac:dyDescent="0.25">
      <c r="B5" s="35">
        <v>1</v>
      </c>
      <c r="C5" s="37">
        <v>2</v>
      </c>
      <c r="D5" s="37">
        <v>3</v>
      </c>
      <c r="E5" s="37">
        <v>4</v>
      </c>
      <c r="F5" s="37">
        <v>5</v>
      </c>
      <c r="G5" s="37" t="s">
        <v>45</v>
      </c>
      <c r="H5" s="37" t="s">
        <v>46</v>
      </c>
    </row>
    <row r="6" spans="2:10" x14ac:dyDescent="0.25">
      <c r="B6" s="7" t="s">
        <v>59</v>
      </c>
      <c r="C6" s="72">
        <f>+C7+C9+C11+C13+C17</f>
        <v>4663870.1269818833</v>
      </c>
      <c r="D6" s="72">
        <f>+D7+D9+D11+D13+D17</f>
        <v>9142400.2100000009</v>
      </c>
      <c r="E6" s="72">
        <f>+E7+E9+E11+E13+E17</f>
        <v>9187450.2100000009</v>
      </c>
      <c r="F6" s="72">
        <f>+F7+F9+F11+F13+F17+F19</f>
        <v>14408225.379999999</v>
      </c>
      <c r="G6" s="107">
        <f>+F6/C6*100</f>
        <v>308.93281733220033</v>
      </c>
      <c r="H6" s="107">
        <f>+F6/E6*100</f>
        <v>156.82507170833415</v>
      </c>
      <c r="J6" s="57"/>
    </row>
    <row r="7" spans="2:10" x14ac:dyDescent="0.25">
      <c r="B7" s="7" t="s">
        <v>20</v>
      </c>
      <c r="C7" s="74">
        <f>+C8</f>
        <v>4007002.0213683718</v>
      </c>
      <c r="D7" s="74">
        <f>+D8</f>
        <v>4862872.93</v>
      </c>
      <c r="E7" s="74">
        <f>+E8</f>
        <v>4907922.93</v>
      </c>
      <c r="F7" s="107">
        <f>+F8</f>
        <v>4602565.97</v>
      </c>
      <c r="G7" s="107">
        <f t="shared" ref="G7:G34" si="0">+F7/C7*100</f>
        <v>114.86308081342685</v>
      </c>
      <c r="H7" s="107">
        <f t="shared" ref="H7:H18" si="1">+F7/E7*100</f>
        <v>93.778285348910316</v>
      </c>
    </row>
    <row r="8" spans="2:10" x14ac:dyDescent="0.25">
      <c r="B8" s="20" t="s">
        <v>21</v>
      </c>
      <c r="C8" s="69">
        <f>+(1756498.27+28434258.46)/7.5345</f>
        <v>4007002.0213683718</v>
      </c>
      <c r="D8" s="69">
        <f>551712.14+4311160.79</f>
        <v>4862872.93</v>
      </c>
      <c r="E8" s="69">
        <f>551712.14+4311160.79+45050</f>
        <v>4907922.93</v>
      </c>
      <c r="F8" s="71">
        <v>4602565.97</v>
      </c>
      <c r="G8" s="71">
        <f t="shared" si="0"/>
        <v>114.86308081342685</v>
      </c>
      <c r="H8" s="71">
        <f t="shared" si="1"/>
        <v>93.778285348910316</v>
      </c>
    </row>
    <row r="9" spans="2:10" x14ac:dyDescent="0.25">
      <c r="B9" s="7" t="s">
        <v>26</v>
      </c>
      <c r="C9" s="74">
        <f>+C10</f>
        <v>331786.03623332671</v>
      </c>
      <c r="D9" s="74">
        <f>+D10</f>
        <v>309000</v>
      </c>
      <c r="E9" s="74">
        <f>+E10</f>
        <v>309000</v>
      </c>
      <c r="F9" s="107">
        <f>+F10</f>
        <v>370941.66</v>
      </c>
      <c r="G9" s="107">
        <f t="shared" si="0"/>
        <v>111.80146826285879</v>
      </c>
      <c r="H9" s="107">
        <f t="shared" si="1"/>
        <v>120.04584466019416</v>
      </c>
    </row>
    <row r="10" spans="2:10" x14ac:dyDescent="0.25">
      <c r="B10" s="22" t="s">
        <v>27</v>
      </c>
      <c r="C10" s="69">
        <f>2499841.89/7.5345</f>
        <v>331786.03623332671</v>
      </c>
      <c r="D10" s="69">
        <v>309000</v>
      </c>
      <c r="E10" s="69">
        <v>309000</v>
      </c>
      <c r="F10" s="71">
        <v>370941.66</v>
      </c>
      <c r="G10" s="71">
        <f t="shared" si="0"/>
        <v>111.80146826285879</v>
      </c>
      <c r="H10" s="71">
        <f t="shared" si="1"/>
        <v>120.04584466019416</v>
      </c>
    </row>
    <row r="11" spans="2:10" x14ac:dyDescent="0.25">
      <c r="B11" s="7" t="s">
        <v>82</v>
      </c>
      <c r="C11" s="74">
        <f>+C12</f>
        <v>40418.909018514831</v>
      </c>
      <c r="D11" s="74">
        <f>+D12</f>
        <v>33180.699999999997</v>
      </c>
      <c r="E11" s="74">
        <f>+E12</f>
        <v>33180.699999999997</v>
      </c>
      <c r="F11" s="107">
        <f>+F12</f>
        <v>40726.01</v>
      </c>
      <c r="G11" s="107">
        <f t="shared" si="0"/>
        <v>100.75979532585725</v>
      </c>
      <c r="H11" s="107">
        <f t="shared" si="1"/>
        <v>122.74005671971962</v>
      </c>
    </row>
    <row r="12" spans="2:10" x14ac:dyDescent="0.25">
      <c r="B12" s="22" t="s">
        <v>83</v>
      </c>
      <c r="C12" s="69">
        <f>304536.27/7.5345</f>
        <v>40418.909018514831</v>
      </c>
      <c r="D12" s="69">
        <v>33180.699999999997</v>
      </c>
      <c r="E12" s="69">
        <v>33180.699999999997</v>
      </c>
      <c r="F12" s="71">
        <v>40726.01</v>
      </c>
      <c r="G12" s="71">
        <f t="shared" si="0"/>
        <v>100.75979532585725</v>
      </c>
      <c r="H12" s="71">
        <f t="shared" si="1"/>
        <v>122.74005671971962</v>
      </c>
    </row>
    <row r="13" spans="2:10" x14ac:dyDescent="0.25">
      <c r="B13" s="7" t="s">
        <v>84</v>
      </c>
      <c r="C13" s="74">
        <f>+C14+C15+C16</f>
        <v>282751.95036166959</v>
      </c>
      <c r="D13" s="74">
        <f>+D14+D15+D16</f>
        <v>3837346.58</v>
      </c>
      <c r="E13" s="74">
        <f>+E14+E15+E16</f>
        <v>3837346.58</v>
      </c>
      <c r="F13" s="107">
        <f>+F14+F15+F16</f>
        <v>9206930.1999999993</v>
      </c>
      <c r="G13" s="107">
        <f t="shared" si="0"/>
        <v>3256.18627501008</v>
      </c>
      <c r="H13" s="107">
        <f t="shared" si="1"/>
        <v>239.92959739383247</v>
      </c>
    </row>
    <row r="14" spans="2:10" x14ac:dyDescent="0.25">
      <c r="B14" s="22" t="s">
        <v>222</v>
      </c>
      <c r="C14" s="69">
        <f>2396.32/7.5345</f>
        <v>318.04632026013672</v>
      </c>
      <c r="D14" s="69"/>
      <c r="E14" s="69"/>
      <c r="F14" s="71">
        <v>6615</v>
      </c>
      <c r="G14" s="71">
        <f t="shared" si="0"/>
        <v>2079.8857206049274</v>
      </c>
      <c r="H14" s="71"/>
    </row>
    <row r="15" spans="2:10" x14ac:dyDescent="0.25">
      <c r="B15" s="22" t="s">
        <v>85</v>
      </c>
      <c r="C15" s="69">
        <f>+(1746638.4+207003.6)/7.5345</f>
        <v>259292.85287676685</v>
      </c>
      <c r="D15" s="69">
        <v>216734.73</v>
      </c>
      <c r="E15" s="69">
        <v>216734.73</v>
      </c>
      <c r="F15" s="71">
        <v>1744599.95</v>
      </c>
      <c r="G15" s="71">
        <f t="shared" si="0"/>
        <v>672.82994137487833</v>
      </c>
      <c r="H15" s="71">
        <f t="shared" si="1"/>
        <v>804.94711207566957</v>
      </c>
    </row>
    <row r="16" spans="2:10" x14ac:dyDescent="0.25">
      <c r="B16" s="22" t="s">
        <v>86</v>
      </c>
      <c r="C16" s="74">
        <f>174356.25/7.5345</f>
        <v>23141.051164642642</v>
      </c>
      <c r="D16" s="69">
        <v>3620611.85</v>
      </c>
      <c r="E16" s="69">
        <v>3620611.85</v>
      </c>
      <c r="F16" s="93">
        <v>7455715.25</v>
      </c>
      <c r="G16" s="71">
        <f t="shared" si="0"/>
        <v>32218.567760619426</v>
      </c>
      <c r="H16" s="71">
        <f t="shared" si="1"/>
        <v>205.9241796383117</v>
      </c>
    </row>
    <row r="17" spans="2:8" x14ac:dyDescent="0.25">
      <c r="B17" s="7" t="s">
        <v>87</v>
      </c>
      <c r="C17" s="74">
        <f>+C18</f>
        <v>1911.21</v>
      </c>
      <c r="D17" s="74">
        <f>+D18</f>
        <v>100000</v>
      </c>
      <c r="E17" s="74">
        <f>+E18</f>
        <v>100000</v>
      </c>
      <c r="F17" s="111">
        <f>+F18</f>
        <v>180427.29</v>
      </c>
      <c r="G17" s="107">
        <f t="shared" si="0"/>
        <v>9440.4743591756014</v>
      </c>
      <c r="H17" s="107">
        <f t="shared" si="1"/>
        <v>180.42729000000003</v>
      </c>
    </row>
    <row r="18" spans="2:8" x14ac:dyDescent="0.25">
      <c r="B18" s="22" t="s">
        <v>88</v>
      </c>
      <c r="C18" s="69">
        <v>1911.21</v>
      </c>
      <c r="D18" s="69">
        <v>100000</v>
      </c>
      <c r="E18" s="69">
        <v>100000</v>
      </c>
      <c r="F18" s="93">
        <f>2018.84+178408.45</f>
        <v>180427.29</v>
      </c>
      <c r="G18" s="71">
        <f t="shared" si="0"/>
        <v>9440.4743591756014</v>
      </c>
      <c r="H18" s="71">
        <f t="shared" si="1"/>
        <v>180.42729000000003</v>
      </c>
    </row>
    <row r="19" spans="2:8" ht="38.25" x14ac:dyDescent="0.25">
      <c r="B19" s="7" t="s">
        <v>174</v>
      </c>
      <c r="C19" s="74"/>
      <c r="D19" s="74"/>
      <c r="E19" s="74"/>
      <c r="F19" s="111">
        <f>+F20</f>
        <v>6634.25</v>
      </c>
      <c r="G19" s="107"/>
      <c r="H19" s="110"/>
    </row>
    <row r="20" spans="2:8" ht="38.25" x14ac:dyDescent="0.25">
      <c r="B20" s="22" t="s">
        <v>173</v>
      </c>
      <c r="C20" s="69"/>
      <c r="D20" s="69"/>
      <c r="E20" s="69"/>
      <c r="F20" s="93">
        <v>6634.25</v>
      </c>
      <c r="G20" s="71"/>
      <c r="H20" s="28"/>
    </row>
    <row r="21" spans="2:8" x14ac:dyDescent="0.25">
      <c r="B21" s="22"/>
      <c r="C21" s="69"/>
      <c r="D21" s="69"/>
      <c r="E21" s="69"/>
      <c r="F21" s="93"/>
      <c r="G21" s="28"/>
      <c r="H21" s="28"/>
    </row>
    <row r="22" spans="2:8" ht="15.75" customHeight="1" x14ac:dyDescent="0.25">
      <c r="B22" s="7" t="s">
        <v>60</v>
      </c>
      <c r="C22" s="74">
        <f>+C23+C25+C27+C29+C33</f>
        <v>4815921.3168418603</v>
      </c>
      <c r="D22" s="74">
        <f>+D23+D25+D27+D29+D33</f>
        <v>9285620.1199999992</v>
      </c>
      <c r="E22" s="74">
        <f>+E23+E25+E27+E29+E33</f>
        <v>9330670.1199999992</v>
      </c>
      <c r="F22" s="55">
        <f>+F23+F25+F27+F29+F33+F35</f>
        <v>14542219.640000001</v>
      </c>
      <c r="G22" s="107">
        <f t="shared" si="0"/>
        <v>301.96132127707523</v>
      </c>
      <c r="H22" s="107">
        <f t="shared" ref="H22:H34" si="2">+F22/E22*100</f>
        <v>155.8539681820838</v>
      </c>
    </row>
    <row r="23" spans="2:8" ht="15.75" customHeight="1" x14ac:dyDescent="0.25">
      <c r="B23" s="7" t="s">
        <v>20</v>
      </c>
      <c r="C23" s="74">
        <f>+C24</f>
        <v>4190053.0838144533</v>
      </c>
      <c r="D23" s="74">
        <f>+D24</f>
        <v>4862872.93</v>
      </c>
      <c r="E23" s="74">
        <f>+E24</f>
        <v>4907922.93</v>
      </c>
      <c r="F23" s="55">
        <f>+F24</f>
        <v>4624567.95</v>
      </c>
      <c r="G23" s="107">
        <f t="shared" si="0"/>
        <v>110.37015182132208</v>
      </c>
      <c r="H23" s="107">
        <f t="shared" si="2"/>
        <v>94.226580489518824</v>
      </c>
    </row>
    <row r="24" spans="2:8" x14ac:dyDescent="0.25">
      <c r="B24" s="20" t="s">
        <v>21</v>
      </c>
      <c r="C24" s="69">
        <f>+(3368576.26+28201378.7)/7.5345</f>
        <v>4190053.0838144533</v>
      </c>
      <c r="D24" s="69">
        <f>551712.14+4311160.79</f>
        <v>4862872.93</v>
      </c>
      <c r="E24" s="69">
        <f>551712.14+4311160.79+45050</f>
        <v>4907922.93</v>
      </c>
      <c r="F24" s="93">
        <v>4624567.95</v>
      </c>
      <c r="G24" s="71">
        <f t="shared" si="0"/>
        <v>110.37015182132208</v>
      </c>
      <c r="H24" s="71">
        <f t="shared" si="2"/>
        <v>94.226580489518824</v>
      </c>
    </row>
    <row r="25" spans="2:8" x14ac:dyDescent="0.25">
      <c r="B25" s="7" t="s">
        <v>26</v>
      </c>
      <c r="C25" s="74">
        <f>+C26</f>
        <v>255382.01075054746</v>
      </c>
      <c r="D25" s="74">
        <f>+D26</f>
        <v>414670</v>
      </c>
      <c r="E25" s="74">
        <f>+E26</f>
        <v>414670</v>
      </c>
      <c r="F25" s="55">
        <f>+F26</f>
        <v>389434.13</v>
      </c>
      <c r="G25" s="107">
        <f t="shared" si="0"/>
        <v>152.49082300491096</v>
      </c>
      <c r="H25" s="107">
        <f t="shared" si="2"/>
        <v>93.914228181445495</v>
      </c>
    </row>
    <row r="26" spans="2:8" x14ac:dyDescent="0.25">
      <c r="B26" s="22" t="s">
        <v>27</v>
      </c>
      <c r="C26" s="69">
        <f>1924175.76/7.5345</f>
        <v>255382.01075054746</v>
      </c>
      <c r="D26" s="69">
        <v>414670</v>
      </c>
      <c r="E26" s="69">
        <v>414670</v>
      </c>
      <c r="F26" s="93">
        <v>389434.13</v>
      </c>
      <c r="G26" s="71">
        <f t="shared" si="0"/>
        <v>152.49082300491096</v>
      </c>
      <c r="H26" s="71">
        <f t="shared" si="2"/>
        <v>93.914228181445495</v>
      </c>
    </row>
    <row r="27" spans="2:8" x14ac:dyDescent="0.25">
      <c r="B27" s="7" t="s">
        <v>82</v>
      </c>
      <c r="C27" s="74">
        <f>+C28</f>
        <v>25076.221381644435</v>
      </c>
      <c r="D27" s="74">
        <f>+D28</f>
        <v>60444.22</v>
      </c>
      <c r="E27" s="74">
        <f>+E28</f>
        <v>60444.22</v>
      </c>
      <c r="F27" s="55">
        <f>+F28</f>
        <v>39424.21</v>
      </c>
      <c r="G27" s="107">
        <f t="shared" si="0"/>
        <v>157.21750657719971</v>
      </c>
      <c r="H27" s="107">
        <f t="shared" si="2"/>
        <v>65.224119030736105</v>
      </c>
    </row>
    <row r="28" spans="2:8" x14ac:dyDescent="0.25">
      <c r="B28" s="22" t="s">
        <v>83</v>
      </c>
      <c r="C28" s="69">
        <f>188936.79/7.5345</f>
        <v>25076.221381644435</v>
      </c>
      <c r="D28" s="69">
        <v>60444.22</v>
      </c>
      <c r="E28" s="69">
        <v>60444.22</v>
      </c>
      <c r="F28" s="93">
        <v>39424.21</v>
      </c>
      <c r="G28" s="71">
        <f t="shared" si="0"/>
        <v>157.21750657719971</v>
      </c>
      <c r="H28" s="71">
        <f t="shared" si="2"/>
        <v>65.224119030736105</v>
      </c>
    </row>
    <row r="29" spans="2:8" x14ac:dyDescent="0.25">
      <c r="B29" s="7" t="s">
        <v>84</v>
      </c>
      <c r="C29" s="74">
        <f>+C30+C31+C32</f>
        <v>343498.79089521529</v>
      </c>
      <c r="D29" s="74">
        <f>+D30+D31+D32</f>
        <v>3847632.97</v>
      </c>
      <c r="E29" s="74">
        <f>+E30+E31+E32</f>
        <v>3847632.97</v>
      </c>
      <c r="F29" s="55">
        <f>+F30+F31+F32</f>
        <v>9301731.8100000005</v>
      </c>
      <c r="G29" s="107">
        <f t="shared" si="0"/>
        <v>2707.9372785441637</v>
      </c>
      <c r="H29" s="107">
        <f t="shared" si="2"/>
        <v>241.75205593999266</v>
      </c>
    </row>
    <row r="30" spans="2:8" x14ac:dyDescent="0.25">
      <c r="B30" s="22" t="s">
        <v>222</v>
      </c>
      <c r="C30" s="69">
        <f>2396.32/7.5345</f>
        <v>318.04632026013672</v>
      </c>
      <c r="D30" s="69">
        <v>0</v>
      </c>
      <c r="E30" s="69">
        <v>0</v>
      </c>
      <c r="F30" s="93">
        <v>6615</v>
      </c>
      <c r="G30" s="71">
        <f t="shared" si="0"/>
        <v>2079.8857206049274</v>
      </c>
      <c r="H30" s="71"/>
    </row>
    <row r="31" spans="2:8" x14ac:dyDescent="0.25">
      <c r="B31" s="22" t="s">
        <v>85</v>
      </c>
      <c r="C31" s="69">
        <f>+(2198233.73+170513.34)/7.5345</f>
        <v>314386.76355431677</v>
      </c>
      <c r="D31" s="69">
        <f>28344.69+198676.43</f>
        <v>227021.12</v>
      </c>
      <c r="E31" s="69">
        <f>28344.69+198676.43</f>
        <v>227021.12</v>
      </c>
      <c r="F31" s="93">
        <v>1846781.98</v>
      </c>
      <c r="G31" s="71">
        <f t="shared" si="0"/>
        <v>587.42357951750421</v>
      </c>
      <c r="H31" s="71">
        <f t="shared" si="2"/>
        <v>813.48465728651149</v>
      </c>
    </row>
    <row r="32" spans="2:8" x14ac:dyDescent="0.25">
      <c r="B32" s="22" t="s">
        <v>86</v>
      </c>
      <c r="C32" s="69">
        <f>216948.25/7.5345</f>
        <v>28793.981020638395</v>
      </c>
      <c r="D32" s="69">
        <v>3620611.85</v>
      </c>
      <c r="E32" s="69">
        <v>3620611.85</v>
      </c>
      <c r="F32" s="93">
        <v>7448334.8300000001</v>
      </c>
      <c r="G32" s="71">
        <f t="shared" si="0"/>
        <v>25867.679862195248</v>
      </c>
      <c r="H32" s="71">
        <f t="shared" si="2"/>
        <v>205.72033508645782</v>
      </c>
    </row>
    <row r="33" spans="2:11" x14ac:dyDescent="0.25">
      <c r="B33" s="7" t="s">
        <v>87</v>
      </c>
      <c r="C33" s="74">
        <f>+C34</f>
        <v>1911.21</v>
      </c>
      <c r="D33" s="74">
        <f>+D34</f>
        <v>100000</v>
      </c>
      <c r="E33" s="74">
        <f>+E34</f>
        <v>100000</v>
      </c>
      <c r="F33" s="111">
        <f>+F34</f>
        <v>180427.29</v>
      </c>
      <c r="G33" s="107">
        <f t="shared" si="0"/>
        <v>9440.4743591756014</v>
      </c>
      <c r="H33" s="107">
        <f t="shared" si="2"/>
        <v>180.42729000000003</v>
      </c>
    </row>
    <row r="34" spans="2:11" x14ac:dyDescent="0.25">
      <c r="B34" s="22" t="s">
        <v>88</v>
      </c>
      <c r="C34" s="69">
        <v>1911.21</v>
      </c>
      <c r="D34" s="69">
        <v>100000</v>
      </c>
      <c r="E34" s="69">
        <v>100000</v>
      </c>
      <c r="F34" s="93">
        <f>2018.84+178408.45</f>
        <v>180427.29</v>
      </c>
      <c r="G34" s="71">
        <f t="shared" si="0"/>
        <v>9440.4743591756014</v>
      </c>
      <c r="H34" s="71">
        <f t="shared" si="2"/>
        <v>180.42729000000003</v>
      </c>
      <c r="J34" s="57"/>
      <c r="K34" s="57"/>
    </row>
    <row r="35" spans="2:11" ht="38.25" x14ac:dyDescent="0.25">
      <c r="B35" s="7" t="s">
        <v>174</v>
      </c>
      <c r="C35" s="74"/>
      <c r="D35" s="74"/>
      <c r="E35" s="112"/>
      <c r="F35" s="107">
        <f>+F36</f>
        <v>6634.25</v>
      </c>
      <c r="G35" s="110"/>
      <c r="H35" s="110"/>
      <c r="K35" s="57"/>
    </row>
    <row r="36" spans="2:11" ht="38.25" x14ac:dyDescent="0.25">
      <c r="B36" s="22" t="s">
        <v>173</v>
      </c>
      <c r="C36" s="69"/>
      <c r="D36" s="69"/>
      <c r="E36" s="73"/>
      <c r="F36" s="71">
        <v>6634.25</v>
      </c>
      <c r="G36" s="28"/>
      <c r="H36" s="28"/>
    </row>
    <row r="38" spans="2:11" ht="15" customHeight="1" x14ac:dyDescent="0.25">
      <c r="B38" s="30"/>
      <c r="C38" s="30"/>
      <c r="D38" s="30"/>
      <c r="E38" s="30"/>
      <c r="F38" s="30"/>
      <c r="G38" s="30"/>
      <c r="H38" s="30"/>
      <c r="I38" s="30"/>
      <c r="J38" s="30"/>
      <c r="K38" s="30"/>
    </row>
    <row r="39" spans="2:11" x14ac:dyDescent="0.25">
      <c r="B39" s="30"/>
      <c r="C39" s="30"/>
      <c r="D39" s="30"/>
      <c r="E39" s="30"/>
      <c r="F39" s="30"/>
      <c r="G39" s="30"/>
      <c r="H39" s="30"/>
      <c r="I39" s="30"/>
      <c r="J39" s="30"/>
      <c r="K39" s="30"/>
    </row>
    <row r="40" spans="2:11" x14ac:dyDescent="0.25">
      <c r="B40" s="30"/>
      <c r="C40" s="30"/>
      <c r="D40" s="30"/>
      <c r="E40" s="30"/>
      <c r="F40" s="30"/>
      <c r="G40" s="30"/>
      <c r="H40" s="30"/>
      <c r="I40" s="30"/>
      <c r="J40" s="30"/>
      <c r="K40" s="30"/>
    </row>
  </sheetData>
  <mergeCells count="1">
    <mergeCell ref="B2:H2"/>
  </mergeCells>
  <pageMargins left="0.7" right="0.7" top="0.75" bottom="0.75" header="0.3" footer="0.3"/>
  <pageSetup paperSize="9" scale="72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13"/>
  <sheetViews>
    <sheetView workbookViewId="0">
      <selection activeCell="F5" sqref="F5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15"/>
      <c r="C1" s="15"/>
      <c r="D1" s="15"/>
      <c r="E1" s="15"/>
      <c r="F1" s="4"/>
      <c r="G1" s="4"/>
      <c r="H1" s="4"/>
    </row>
    <row r="2" spans="2:8" ht="15.75" customHeight="1" x14ac:dyDescent="0.25">
      <c r="B2" s="115" t="s">
        <v>49</v>
      </c>
      <c r="C2" s="115"/>
      <c r="D2" s="115"/>
      <c r="E2" s="115"/>
      <c r="F2" s="115"/>
      <c r="G2" s="115"/>
      <c r="H2" s="115"/>
    </row>
    <row r="3" spans="2:8" ht="18" x14ac:dyDescent="0.25">
      <c r="B3" s="49"/>
      <c r="C3" s="49"/>
      <c r="D3" s="49"/>
      <c r="E3" s="49"/>
      <c r="F3" s="50"/>
      <c r="G3" s="50"/>
      <c r="H3" s="50"/>
    </row>
    <row r="4" spans="2:8" ht="25.5" x14ac:dyDescent="0.25">
      <c r="B4" s="35" t="s">
        <v>8</v>
      </c>
      <c r="C4" s="35" t="s">
        <v>231</v>
      </c>
      <c r="D4" s="35" t="s">
        <v>227</v>
      </c>
      <c r="E4" s="35" t="s">
        <v>228</v>
      </c>
      <c r="F4" s="35" t="s">
        <v>232</v>
      </c>
      <c r="G4" s="35" t="s">
        <v>30</v>
      </c>
      <c r="H4" s="35" t="s">
        <v>62</v>
      </c>
    </row>
    <row r="5" spans="2:8" x14ac:dyDescent="0.25">
      <c r="B5" s="37">
        <v>1</v>
      </c>
      <c r="C5" s="37">
        <v>2</v>
      </c>
      <c r="D5" s="37">
        <v>3</v>
      </c>
      <c r="E5" s="37">
        <v>4</v>
      </c>
      <c r="F5" s="37">
        <v>5</v>
      </c>
      <c r="G5" s="37" t="s">
        <v>45</v>
      </c>
      <c r="H5" s="37" t="s">
        <v>46</v>
      </c>
    </row>
    <row r="6" spans="2:8" ht="15.75" customHeight="1" x14ac:dyDescent="0.25">
      <c r="B6" s="7" t="s">
        <v>60</v>
      </c>
      <c r="C6" s="74">
        <f t="shared" ref="C6:F7" si="0">+C7</f>
        <v>4815921.3120499048</v>
      </c>
      <c r="D6" s="74">
        <f t="shared" si="0"/>
        <v>9285620.120000001</v>
      </c>
      <c r="E6" s="74">
        <f t="shared" si="0"/>
        <v>9330670.120000001</v>
      </c>
      <c r="F6" s="74">
        <f t="shared" si="0"/>
        <v>14542219.639999999</v>
      </c>
      <c r="G6" s="107">
        <f>+F6/C6*100</f>
        <v>301.96132157753379</v>
      </c>
      <c r="H6" s="107">
        <f>+F6/E6*100</f>
        <v>155.85396818208378</v>
      </c>
    </row>
    <row r="7" spans="2:8" ht="15.75" customHeight="1" x14ac:dyDescent="0.25">
      <c r="B7" s="7" t="s">
        <v>89</v>
      </c>
      <c r="C7" s="69">
        <f t="shared" si="0"/>
        <v>4815921.3120499048</v>
      </c>
      <c r="D7" s="69">
        <f t="shared" si="0"/>
        <v>9285620.120000001</v>
      </c>
      <c r="E7" s="69">
        <f t="shared" si="0"/>
        <v>9330670.120000001</v>
      </c>
      <c r="F7" s="69">
        <f t="shared" si="0"/>
        <v>14542219.639999999</v>
      </c>
      <c r="G7" s="71">
        <f t="shared" ref="G7:G8" si="1">+F7/C7*100</f>
        <v>301.96132157753379</v>
      </c>
      <c r="H7" s="71">
        <f t="shared" ref="H7:H8" si="2">+F7/E7*100</f>
        <v>155.85396818208378</v>
      </c>
    </row>
    <row r="8" spans="2:8" x14ac:dyDescent="0.25">
      <c r="B8" s="14" t="s">
        <v>90</v>
      </c>
      <c r="C8" s="69">
        <f>+' Račun prihoda i rashoda'!G54</f>
        <v>4815921.3120499048</v>
      </c>
      <c r="D8" s="69">
        <f>+SAŽETAK!H15</f>
        <v>9285620.120000001</v>
      </c>
      <c r="E8" s="69">
        <f>+SAŽETAK!I15</f>
        <v>9330670.120000001</v>
      </c>
      <c r="F8" s="71">
        <f>14363811.19+178408.45</f>
        <v>14542219.639999999</v>
      </c>
      <c r="G8" s="71">
        <f t="shared" si="1"/>
        <v>301.96132157753379</v>
      </c>
      <c r="H8" s="71">
        <f t="shared" si="2"/>
        <v>155.85396818208378</v>
      </c>
    </row>
    <row r="9" spans="2:8" x14ac:dyDescent="0.25">
      <c r="B9" s="12" t="s">
        <v>17</v>
      </c>
      <c r="C9" s="69"/>
      <c r="D9" s="69"/>
      <c r="E9" s="73"/>
      <c r="F9" s="71"/>
      <c r="G9" s="28"/>
      <c r="H9" s="28"/>
    </row>
    <row r="11" spans="2:8" x14ac:dyDescent="0.25">
      <c r="B11" s="30"/>
      <c r="C11" s="30"/>
      <c r="D11" s="30"/>
      <c r="E11" s="30"/>
      <c r="F11" s="30"/>
      <c r="G11" s="30"/>
      <c r="H11" s="30"/>
    </row>
    <row r="12" spans="2:8" x14ac:dyDescent="0.25">
      <c r="B12" s="30"/>
      <c r="C12" s="30"/>
      <c r="D12" s="30"/>
      <c r="E12" s="30"/>
      <c r="F12" s="30"/>
      <c r="G12" s="30"/>
      <c r="H12" s="30"/>
    </row>
    <row r="13" spans="2:8" x14ac:dyDescent="0.25">
      <c r="B13" s="30"/>
      <c r="C13" s="30"/>
      <c r="D13" s="30"/>
      <c r="E13" s="30"/>
      <c r="F13" s="30"/>
      <c r="G13" s="30"/>
      <c r="H13" s="30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22"/>
  <sheetViews>
    <sheetView workbookViewId="0">
      <selection activeCell="J10" sqref="J10"/>
    </sheetView>
  </sheetViews>
  <sheetFormatPr defaultRowHeight="15" x14ac:dyDescent="0.25"/>
  <cols>
    <col min="2" max="2" width="7.42578125" bestFit="1" customWidth="1"/>
    <col min="3" max="3" width="8.42578125" bestFit="1" customWidth="1"/>
    <col min="4" max="4" width="8.42578125" customWidth="1"/>
    <col min="5" max="5" width="5.42578125" bestFit="1" customWidth="1"/>
    <col min="6" max="10" width="25.28515625" customWidth="1"/>
    <col min="11" max="12" width="15.7109375" customWidth="1"/>
  </cols>
  <sheetData>
    <row r="1" spans="2:12" ht="18" customHeight="1" x14ac:dyDescent="0.25">
      <c r="B1" s="3"/>
      <c r="C1" s="3"/>
      <c r="D1" s="15"/>
      <c r="E1" s="3"/>
      <c r="F1" s="3"/>
      <c r="G1" s="3"/>
      <c r="H1" s="3"/>
      <c r="I1" s="3"/>
      <c r="J1" s="3"/>
      <c r="K1" s="3"/>
      <c r="L1" s="15"/>
    </row>
    <row r="2" spans="2:12" ht="15.75" customHeight="1" x14ac:dyDescent="0.25">
      <c r="B2" s="115" t="s">
        <v>12</v>
      </c>
      <c r="C2" s="115"/>
      <c r="D2" s="115"/>
      <c r="E2" s="115"/>
      <c r="F2" s="115"/>
      <c r="G2" s="115"/>
      <c r="H2" s="115"/>
      <c r="I2" s="115"/>
      <c r="J2" s="115"/>
      <c r="K2" s="115"/>
      <c r="L2" s="115"/>
    </row>
    <row r="3" spans="2:12" ht="18" x14ac:dyDescent="0.25">
      <c r="B3" s="49"/>
      <c r="C3" s="49"/>
      <c r="D3" s="49"/>
      <c r="E3" s="49"/>
      <c r="F3" s="49"/>
      <c r="G3" s="49"/>
      <c r="H3" s="49"/>
      <c r="I3" s="49"/>
      <c r="J3" s="50"/>
      <c r="K3" s="50"/>
      <c r="L3" s="50"/>
    </row>
    <row r="4" spans="2:12" ht="18" customHeight="1" x14ac:dyDescent="0.25">
      <c r="B4" s="115" t="s">
        <v>65</v>
      </c>
      <c r="C4" s="115"/>
      <c r="D4" s="115"/>
      <c r="E4" s="115"/>
      <c r="F4" s="115"/>
      <c r="G4" s="115"/>
      <c r="H4" s="115"/>
      <c r="I4" s="115"/>
      <c r="J4" s="115"/>
      <c r="K4" s="115"/>
      <c r="L4" s="115"/>
    </row>
    <row r="5" spans="2:12" ht="15.75" customHeight="1" x14ac:dyDescent="0.25">
      <c r="B5" s="115" t="s">
        <v>50</v>
      </c>
      <c r="C5" s="115"/>
      <c r="D5" s="115"/>
      <c r="E5" s="115"/>
      <c r="F5" s="115"/>
      <c r="G5" s="115"/>
      <c r="H5" s="115"/>
      <c r="I5" s="115"/>
      <c r="J5" s="115"/>
      <c r="K5" s="115"/>
      <c r="L5" s="115"/>
    </row>
    <row r="6" spans="2:12" ht="18" x14ac:dyDescent="0.25">
      <c r="B6" s="49"/>
      <c r="C6" s="49"/>
      <c r="D6" s="49"/>
      <c r="E6" s="49"/>
      <c r="F6" s="49"/>
      <c r="G6" s="49"/>
      <c r="H6" s="49"/>
      <c r="I6" s="49"/>
      <c r="J6" s="50"/>
      <c r="K6" s="50"/>
      <c r="L6" s="50"/>
    </row>
    <row r="7" spans="2:12" ht="25.5" customHeight="1" x14ac:dyDescent="0.25">
      <c r="B7" s="143" t="s">
        <v>8</v>
      </c>
      <c r="C7" s="144"/>
      <c r="D7" s="144"/>
      <c r="E7" s="144"/>
      <c r="F7" s="145"/>
      <c r="G7" s="38" t="s">
        <v>78</v>
      </c>
      <c r="H7" s="38" t="s">
        <v>73</v>
      </c>
      <c r="I7" s="38" t="s">
        <v>74</v>
      </c>
      <c r="J7" s="38" t="s">
        <v>75</v>
      </c>
      <c r="K7" s="38" t="s">
        <v>30</v>
      </c>
      <c r="L7" s="38" t="s">
        <v>62</v>
      </c>
    </row>
    <row r="8" spans="2:12" x14ac:dyDescent="0.25">
      <c r="B8" s="143">
        <v>1</v>
      </c>
      <c r="C8" s="144"/>
      <c r="D8" s="144"/>
      <c r="E8" s="144"/>
      <c r="F8" s="145"/>
      <c r="G8" s="39">
        <v>2</v>
      </c>
      <c r="H8" s="39">
        <v>3</v>
      </c>
      <c r="I8" s="39">
        <v>4</v>
      </c>
      <c r="J8" s="39">
        <v>5</v>
      </c>
      <c r="K8" s="39" t="s">
        <v>45</v>
      </c>
      <c r="L8" s="39" t="s">
        <v>46</v>
      </c>
    </row>
    <row r="9" spans="2:12" ht="25.5" x14ac:dyDescent="0.25">
      <c r="B9" s="7">
        <v>8</v>
      </c>
      <c r="C9" s="7"/>
      <c r="D9" s="7"/>
      <c r="E9" s="7"/>
      <c r="F9" s="7" t="s">
        <v>9</v>
      </c>
      <c r="G9" s="5"/>
      <c r="H9" s="5"/>
      <c r="I9" s="5"/>
      <c r="J9" s="28"/>
      <c r="K9" s="28"/>
      <c r="L9" s="28"/>
    </row>
    <row r="10" spans="2:12" x14ac:dyDescent="0.25">
      <c r="B10" s="7"/>
      <c r="C10" s="12">
        <v>84</v>
      </c>
      <c r="D10" s="12"/>
      <c r="E10" s="12"/>
      <c r="F10" s="12" t="s">
        <v>14</v>
      </c>
      <c r="G10" s="5"/>
      <c r="H10" s="5"/>
      <c r="I10" s="5"/>
      <c r="J10" s="28"/>
      <c r="K10" s="28"/>
      <c r="L10" s="28"/>
    </row>
    <row r="11" spans="2:12" ht="51" x14ac:dyDescent="0.25">
      <c r="B11" s="8"/>
      <c r="C11" s="8"/>
      <c r="D11" s="8">
        <v>841</v>
      </c>
      <c r="E11" s="8"/>
      <c r="F11" s="23" t="s">
        <v>51</v>
      </c>
      <c r="G11" s="5"/>
      <c r="H11" s="5"/>
      <c r="I11" s="5"/>
      <c r="J11" s="28"/>
      <c r="K11" s="28"/>
      <c r="L11" s="28"/>
    </row>
    <row r="12" spans="2:12" ht="25.5" x14ac:dyDescent="0.25">
      <c r="B12" s="8"/>
      <c r="C12" s="8"/>
      <c r="D12" s="8"/>
      <c r="E12" s="8">
        <v>8413</v>
      </c>
      <c r="F12" s="23" t="s">
        <v>52</v>
      </c>
      <c r="G12" s="5"/>
      <c r="H12" s="5"/>
      <c r="I12" s="5"/>
      <c r="J12" s="28"/>
      <c r="K12" s="28"/>
      <c r="L12" s="28"/>
    </row>
    <row r="13" spans="2:12" x14ac:dyDescent="0.25">
      <c r="B13" s="8"/>
      <c r="C13" s="8"/>
      <c r="D13" s="8"/>
      <c r="E13" s="9" t="s">
        <v>23</v>
      </c>
      <c r="F13" s="14"/>
      <c r="G13" s="5"/>
      <c r="H13" s="5"/>
      <c r="I13" s="5"/>
      <c r="J13" s="28"/>
      <c r="K13" s="28"/>
      <c r="L13" s="28"/>
    </row>
    <row r="14" spans="2:12" ht="25.5" x14ac:dyDescent="0.25">
      <c r="B14" s="10">
        <v>5</v>
      </c>
      <c r="C14" s="11"/>
      <c r="D14" s="11"/>
      <c r="E14" s="11"/>
      <c r="F14" s="16" t="s">
        <v>10</v>
      </c>
      <c r="G14" s="5"/>
      <c r="H14" s="5"/>
      <c r="I14" s="5"/>
      <c r="J14" s="28"/>
      <c r="K14" s="28"/>
      <c r="L14" s="28"/>
    </row>
    <row r="15" spans="2:12" ht="25.5" x14ac:dyDescent="0.25">
      <c r="B15" s="12"/>
      <c r="C15" s="12">
        <v>54</v>
      </c>
      <c r="D15" s="12"/>
      <c r="E15" s="12"/>
      <c r="F15" s="17" t="s">
        <v>15</v>
      </c>
      <c r="G15" s="5"/>
      <c r="H15" s="5"/>
      <c r="I15" s="6"/>
      <c r="J15" s="28"/>
      <c r="K15" s="28"/>
      <c r="L15" s="28"/>
    </row>
    <row r="16" spans="2:12" ht="63.75" x14ac:dyDescent="0.25">
      <c r="B16" s="12"/>
      <c r="C16" s="12"/>
      <c r="D16" s="12">
        <v>541</v>
      </c>
      <c r="E16" s="23"/>
      <c r="F16" s="23" t="s">
        <v>53</v>
      </c>
      <c r="G16" s="5"/>
      <c r="H16" s="5"/>
      <c r="I16" s="6"/>
      <c r="J16" s="28"/>
      <c r="K16" s="28"/>
      <c r="L16" s="28"/>
    </row>
    <row r="17" spans="2:12" ht="38.25" x14ac:dyDescent="0.25">
      <c r="B17" s="12"/>
      <c r="C17" s="12"/>
      <c r="D17" s="12"/>
      <c r="E17" s="23">
        <v>5413</v>
      </c>
      <c r="F17" s="23" t="s">
        <v>54</v>
      </c>
      <c r="G17" s="5"/>
      <c r="H17" s="5"/>
      <c r="I17" s="6"/>
      <c r="J17" s="28"/>
      <c r="K17" s="28"/>
      <c r="L17" s="28"/>
    </row>
    <row r="18" spans="2:12" x14ac:dyDescent="0.25">
      <c r="B18" s="13"/>
      <c r="C18" s="11"/>
      <c r="D18" s="11"/>
      <c r="E18" s="11"/>
      <c r="F18" s="16" t="s">
        <v>23</v>
      </c>
      <c r="G18" s="5"/>
      <c r="H18" s="5"/>
      <c r="I18" s="5"/>
      <c r="J18" s="28"/>
      <c r="K18" s="28"/>
      <c r="L18" s="28"/>
    </row>
    <row r="20" spans="2:12" x14ac:dyDescent="0.25">
      <c r="B20" s="30"/>
      <c r="C20" s="30"/>
      <c r="D20" s="30"/>
      <c r="E20" s="30"/>
      <c r="F20" s="30"/>
      <c r="G20" s="30"/>
      <c r="H20" s="30"/>
      <c r="I20" s="30"/>
      <c r="J20" s="30"/>
      <c r="K20" s="30"/>
      <c r="L20" s="30"/>
    </row>
    <row r="21" spans="2:12" x14ac:dyDescent="0.25">
      <c r="B21" s="30"/>
      <c r="C21" s="30"/>
      <c r="D21" s="30"/>
      <c r="E21" s="30"/>
      <c r="F21" s="30"/>
      <c r="G21" s="30"/>
      <c r="H21" s="30"/>
      <c r="I21" s="30"/>
      <c r="J21" s="30"/>
      <c r="K21" s="30"/>
      <c r="L21" s="30"/>
    </row>
    <row r="22" spans="2:12" x14ac:dyDescent="0.25">
      <c r="B22" s="30"/>
      <c r="C22" s="30"/>
      <c r="D22" s="30"/>
      <c r="E22" s="30"/>
      <c r="F22" s="30"/>
      <c r="G22" s="30"/>
      <c r="H22" s="30"/>
      <c r="I22" s="30"/>
      <c r="J22" s="30"/>
      <c r="K22" s="30"/>
      <c r="L22" s="30"/>
    </row>
  </sheetData>
  <mergeCells count="5">
    <mergeCell ref="B7:F7"/>
    <mergeCell ref="B8:F8"/>
    <mergeCell ref="B2:L2"/>
    <mergeCell ref="B4:L4"/>
    <mergeCell ref="B5:L5"/>
  </mergeCells>
  <pageMargins left="0.7" right="0.7" top="0.75" bottom="0.75" header="0.3" footer="0.3"/>
  <pageSetup paperSize="9" scale="66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H28"/>
  <sheetViews>
    <sheetView workbookViewId="0">
      <selection activeCell="B6" sqref="B6"/>
    </sheetView>
  </sheetViews>
  <sheetFormatPr defaultRowHeight="15" x14ac:dyDescent="0.25"/>
  <cols>
    <col min="2" max="2" width="37.7109375" customWidth="1"/>
    <col min="3" max="6" width="25.28515625" customWidth="1"/>
    <col min="7" max="8" width="15.7109375" customWidth="1"/>
  </cols>
  <sheetData>
    <row r="1" spans="2:8" ht="18" x14ac:dyDescent="0.25">
      <c r="B1" s="15"/>
      <c r="C1" s="15"/>
      <c r="D1" s="15"/>
      <c r="E1" s="15"/>
      <c r="F1" s="4"/>
      <c r="G1" s="4"/>
      <c r="H1" s="4"/>
    </row>
    <row r="2" spans="2:8" ht="15.75" customHeight="1" x14ac:dyDescent="0.25">
      <c r="B2" s="115" t="s">
        <v>55</v>
      </c>
      <c r="C2" s="115"/>
      <c r="D2" s="115"/>
      <c r="E2" s="115"/>
      <c r="F2" s="115"/>
      <c r="G2" s="115"/>
      <c r="H2" s="115"/>
    </row>
    <row r="3" spans="2:8" ht="18" x14ac:dyDescent="0.25">
      <c r="B3" s="49"/>
      <c r="C3" s="49"/>
      <c r="D3" s="49"/>
      <c r="E3" s="49"/>
      <c r="F3" s="50"/>
      <c r="G3" s="50"/>
      <c r="H3" s="50"/>
    </row>
    <row r="4" spans="2:8" ht="25.5" x14ac:dyDescent="0.25">
      <c r="B4" s="35" t="s">
        <v>8</v>
      </c>
      <c r="C4" s="35" t="s">
        <v>78</v>
      </c>
      <c r="D4" s="35" t="s">
        <v>73</v>
      </c>
      <c r="E4" s="35" t="s">
        <v>74</v>
      </c>
      <c r="F4" s="35" t="s">
        <v>75</v>
      </c>
      <c r="G4" s="35" t="s">
        <v>30</v>
      </c>
      <c r="H4" s="35" t="s">
        <v>62</v>
      </c>
    </row>
    <row r="5" spans="2:8" x14ac:dyDescent="0.25">
      <c r="B5" s="35">
        <v>1</v>
      </c>
      <c r="C5" s="35">
        <v>2</v>
      </c>
      <c r="D5" s="35">
        <v>3</v>
      </c>
      <c r="E5" s="35">
        <v>4</v>
      </c>
      <c r="F5" s="35">
        <v>5</v>
      </c>
      <c r="G5" s="35" t="s">
        <v>45</v>
      </c>
      <c r="H5" s="35" t="s">
        <v>46</v>
      </c>
    </row>
    <row r="6" spans="2:8" x14ac:dyDescent="0.25">
      <c r="B6" s="7" t="s">
        <v>57</v>
      </c>
      <c r="C6" s="5"/>
      <c r="D6" s="5"/>
      <c r="E6" s="6"/>
      <c r="F6" s="28"/>
      <c r="G6" s="28"/>
      <c r="H6" s="28"/>
    </row>
    <row r="7" spans="2:8" x14ac:dyDescent="0.25">
      <c r="B7" s="7" t="s">
        <v>20</v>
      </c>
      <c r="C7" s="5"/>
      <c r="D7" s="5"/>
      <c r="E7" s="5"/>
      <c r="F7" s="28"/>
      <c r="G7" s="28"/>
      <c r="H7" s="28"/>
    </row>
    <row r="8" spans="2:8" x14ac:dyDescent="0.25">
      <c r="B8" s="20" t="s">
        <v>21</v>
      </c>
      <c r="C8" s="5"/>
      <c r="D8" s="5"/>
      <c r="E8" s="5"/>
      <c r="F8" s="28"/>
      <c r="G8" s="28"/>
      <c r="H8" s="28"/>
    </row>
    <row r="9" spans="2:8" x14ac:dyDescent="0.25">
      <c r="B9" s="21" t="s">
        <v>22</v>
      </c>
      <c r="C9" s="5"/>
      <c r="D9" s="5"/>
      <c r="E9" s="5"/>
      <c r="F9" s="28"/>
      <c r="G9" s="28"/>
      <c r="H9" s="28"/>
    </row>
    <row r="10" spans="2:8" x14ac:dyDescent="0.25">
      <c r="B10" s="21" t="s">
        <v>23</v>
      </c>
      <c r="C10" s="5"/>
      <c r="D10" s="5"/>
      <c r="E10" s="5"/>
      <c r="F10" s="28"/>
      <c r="G10" s="28"/>
      <c r="H10" s="28"/>
    </row>
    <row r="11" spans="2:8" x14ac:dyDescent="0.25">
      <c r="B11" s="7" t="s">
        <v>24</v>
      </c>
      <c r="C11" s="5"/>
      <c r="D11" s="5"/>
      <c r="E11" s="6"/>
      <c r="F11" s="28"/>
      <c r="G11" s="28"/>
      <c r="H11" s="28"/>
    </row>
    <row r="12" spans="2:8" x14ac:dyDescent="0.25">
      <c r="B12" s="22" t="s">
        <v>25</v>
      </c>
      <c r="C12" s="5"/>
      <c r="D12" s="5"/>
      <c r="E12" s="6"/>
      <c r="F12" s="28"/>
      <c r="G12" s="28"/>
      <c r="H12" s="28"/>
    </row>
    <row r="13" spans="2:8" x14ac:dyDescent="0.25">
      <c r="B13" s="7" t="s">
        <v>26</v>
      </c>
      <c r="C13" s="5"/>
      <c r="D13" s="5"/>
      <c r="E13" s="6"/>
      <c r="F13" s="28"/>
      <c r="G13" s="28"/>
      <c r="H13" s="28"/>
    </row>
    <row r="14" spans="2:8" x14ac:dyDescent="0.25">
      <c r="B14" s="22" t="s">
        <v>27</v>
      </c>
      <c r="C14" s="5"/>
      <c r="D14" s="5"/>
      <c r="E14" s="6"/>
      <c r="F14" s="28"/>
      <c r="G14" s="28"/>
      <c r="H14" s="28"/>
    </row>
    <row r="15" spans="2:8" x14ac:dyDescent="0.25">
      <c r="B15" s="12" t="s">
        <v>17</v>
      </c>
      <c r="C15" s="5"/>
      <c r="D15" s="5"/>
      <c r="E15" s="6"/>
      <c r="F15" s="28"/>
      <c r="G15" s="28"/>
      <c r="H15" s="28"/>
    </row>
    <row r="16" spans="2:8" x14ac:dyDescent="0.25">
      <c r="B16" s="22"/>
      <c r="C16" s="5"/>
      <c r="D16" s="5"/>
      <c r="E16" s="6"/>
      <c r="F16" s="28"/>
      <c r="G16" s="28"/>
      <c r="H16" s="28"/>
    </row>
    <row r="17" spans="2:8" ht="15.75" customHeight="1" x14ac:dyDescent="0.25">
      <c r="B17" s="7" t="s">
        <v>58</v>
      </c>
      <c r="C17" s="5"/>
      <c r="D17" s="5"/>
      <c r="E17" s="6"/>
      <c r="F17" s="28"/>
      <c r="G17" s="28"/>
      <c r="H17" s="28"/>
    </row>
    <row r="18" spans="2:8" ht="15.75" customHeight="1" x14ac:dyDescent="0.25">
      <c r="B18" s="7" t="s">
        <v>20</v>
      </c>
      <c r="C18" s="5"/>
      <c r="D18" s="5"/>
      <c r="E18" s="5"/>
      <c r="F18" s="28"/>
      <c r="G18" s="28"/>
      <c r="H18" s="28"/>
    </row>
    <row r="19" spans="2:8" x14ac:dyDescent="0.25">
      <c r="B19" s="20" t="s">
        <v>21</v>
      </c>
      <c r="C19" s="5"/>
      <c r="D19" s="5"/>
      <c r="E19" s="5"/>
      <c r="F19" s="28"/>
      <c r="G19" s="28"/>
      <c r="H19" s="28"/>
    </row>
    <row r="20" spans="2:8" x14ac:dyDescent="0.25">
      <c r="B20" s="21" t="s">
        <v>22</v>
      </c>
      <c r="C20" s="5"/>
      <c r="D20" s="5"/>
      <c r="E20" s="5"/>
      <c r="F20" s="28"/>
      <c r="G20" s="28"/>
      <c r="H20" s="28"/>
    </row>
    <row r="21" spans="2:8" x14ac:dyDescent="0.25">
      <c r="B21" s="21" t="s">
        <v>23</v>
      </c>
      <c r="C21" s="5"/>
      <c r="D21" s="5"/>
      <c r="E21" s="5"/>
      <c r="F21" s="28"/>
      <c r="G21" s="28"/>
      <c r="H21" s="28"/>
    </row>
    <row r="22" spans="2:8" x14ac:dyDescent="0.25">
      <c r="B22" s="7" t="s">
        <v>24</v>
      </c>
      <c r="C22" s="5"/>
      <c r="D22" s="5"/>
      <c r="E22" s="6"/>
      <c r="F22" s="28"/>
      <c r="G22" s="28"/>
      <c r="H22" s="28"/>
    </row>
    <row r="23" spans="2:8" x14ac:dyDescent="0.25">
      <c r="B23" s="22" t="s">
        <v>25</v>
      </c>
      <c r="C23" s="5"/>
      <c r="D23" s="5"/>
      <c r="E23" s="6"/>
      <c r="F23" s="28"/>
      <c r="G23" s="28"/>
      <c r="H23" s="28"/>
    </row>
    <row r="24" spans="2:8" x14ac:dyDescent="0.25">
      <c r="B24" s="7" t="s">
        <v>26</v>
      </c>
      <c r="C24" s="5"/>
      <c r="D24" s="5"/>
      <c r="E24" s="6"/>
      <c r="F24" s="28"/>
      <c r="G24" s="28"/>
      <c r="H24" s="28"/>
    </row>
    <row r="25" spans="2:8" x14ac:dyDescent="0.25">
      <c r="B25" s="22" t="s">
        <v>27</v>
      </c>
      <c r="C25" s="5"/>
      <c r="D25" s="5"/>
      <c r="E25" s="6"/>
      <c r="F25" s="28"/>
      <c r="G25" s="28"/>
      <c r="H25" s="28"/>
    </row>
    <row r="26" spans="2:8" x14ac:dyDescent="0.25">
      <c r="B26" s="12" t="s">
        <v>17</v>
      </c>
      <c r="C26" s="5"/>
      <c r="D26" s="5"/>
      <c r="E26" s="6"/>
      <c r="F26" s="28"/>
      <c r="G26" s="28"/>
      <c r="H26" s="28"/>
    </row>
    <row r="28" spans="2:8" x14ac:dyDescent="0.25">
      <c r="B28" s="41"/>
      <c r="C28" s="41"/>
      <c r="D28" s="41"/>
      <c r="E28" s="41"/>
      <c r="F28" s="41"/>
      <c r="G28" s="41"/>
      <c r="H28" s="41"/>
    </row>
  </sheetData>
  <mergeCells count="1">
    <mergeCell ref="B2:H2"/>
  </mergeCells>
  <pageMargins left="0.7" right="0.7" top="0.75" bottom="0.75" header="0.3" footer="0.3"/>
  <pageSetup paperSize="9" scale="73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259"/>
  <sheetViews>
    <sheetView tabSelected="1" topLeftCell="A190" workbookViewId="0">
      <selection activeCell="J233" sqref="J233"/>
    </sheetView>
  </sheetViews>
  <sheetFormatPr defaultRowHeight="15" x14ac:dyDescent="0.25"/>
  <cols>
    <col min="2" max="2" width="10.42578125" customWidth="1"/>
    <col min="3" max="3" width="4.5703125" customWidth="1"/>
    <col min="4" max="4" width="12" customWidth="1"/>
    <col min="5" max="5" width="39" customWidth="1"/>
    <col min="6" max="8" width="24.28515625" customWidth="1"/>
    <col min="9" max="9" width="15.7109375" customWidth="1"/>
    <col min="10" max="10" width="24.28515625" customWidth="1"/>
  </cols>
  <sheetData>
    <row r="1" spans="2:10" ht="18" x14ac:dyDescent="0.25">
      <c r="B1" s="3"/>
      <c r="C1" s="3"/>
      <c r="D1" s="3"/>
      <c r="E1" s="3"/>
      <c r="F1" s="3"/>
      <c r="G1" s="3"/>
      <c r="H1" s="3"/>
      <c r="I1" s="4"/>
      <c r="J1" s="4"/>
    </row>
    <row r="2" spans="2:10" ht="18" customHeight="1" x14ac:dyDescent="0.25">
      <c r="B2" s="115" t="s">
        <v>11</v>
      </c>
      <c r="C2" s="115"/>
      <c r="D2" s="115"/>
      <c r="E2" s="115"/>
      <c r="F2" s="115"/>
      <c r="G2" s="115"/>
      <c r="H2" s="115"/>
      <c r="I2" s="115"/>
      <c r="J2" s="24"/>
    </row>
    <row r="3" spans="2:10" ht="18" x14ac:dyDescent="0.25">
      <c r="B3" s="49"/>
      <c r="C3" s="49"/>
      <c r="D3" s="49"/>
      <c r="E3" s="49"/>
      <c r="F3" s="49"/>
      <c r="G3" s="49"/>
      <c r="H3" s="49"/>
      <c r="I3" s="50"/>
      <c r="J3" s="4"/>
    </row>
    <row r="4" spans="2:10" ht="15.75" x14ac:dyDescent="0.25">
      <c r="B4" s="150" t="s">
        <v>67</v>
      </c>
      <c r="C4" s="150"/>
      <c r="D4" s="150"/>
      <c r="E4" s="150"/>
      <c r="F4" s="150"/>
      <c r="G4" s="150"/>
      <c r="H4" s="150"/>
      <c r="I4" s="150"/>
    </row>
    <row r="5" spans="2:10" ht="18" x14ac:dyDescent="0.25">
      <c r="B5" s="49"/>
      <c r="C5" s="49"/>
      <c r="D5" s="49"/>
      <c r="E5" s="49"/>
      <c r="F5" s="49"/>
      <c r="G5" s="49"/>
      <c r="H5" s="49"/>
      <c r="I5" s="50"/>
    </row>
    <row r="6" spans="2:10" ht="25.5" x14ac:dyDescent="0.25">
      <c r="B6" s="143" t="s">
        <v>8</v>
      </c>
      <c r="C6" s="144"/>
      <c r="D6" s="144"/>
      <c r="E6" s="145"/>
      <c r="F6" s="35" t="s">
        <v>227</v>
      </c>
      <c r="G6" s="35" t="s">
        <v>228</v>
      </c>
      <c r="H6" s="35" t="s">
        <v>232</v>
      </c>
      <c r="I6" s="35" t="s">
        <v>62</v>
      </c>
    </row>
    <row r="7" spans="2:10" s="40" customFormat="1" ht="11.25" x14ac:dyDescent="0.2">
      <c r="B7" s="140">
        <v>1</v>
      </c>
      <c r="C7" s="141"/>
      <c r="D7" s="141"/>
      <c r="E7" s="142"/>
      <c r="F7" s="37">
        <v>2</v>
      </c>
      <c r="G7" s="37">
        <v>3</v>
      </c>
      <c r="H7" s="37">
        <v>4</v>
      </c>
      <c r="I7" s="37" t="s">
        <v>56</v>
      </c>
    </row>
    <row r="8" spans="2:10" ht="30" customHeight="1" x14ac:dyDescent="0.25">
      <c r="B8" s="151">
        <v>764</v>
      </c>
      <c r="C8" s="152"/>
      <c r="D8" s="153"/>
      <c r="E8" s="92" t="s">
        <v>91</v>
      </c>
      <c r="F8" s="74">
        <f>+F9+F95+F171+F204+F233+F242</f>
        <v>9285620.1199999992</v>
      </c>
      <c r="G8" s="74">
        <f>+G9+G95+G171+G204+G233+G242</f>
        <v>9330670.1199999992</v>
      </c>
      <c r="H8" s="74">
        <f>+H9+H95+H171+H198+H204+H233+H242+H254</f>
        <v>14542219.639999999</v>
      </c>
      <c r="I8" s="74">
        <f>+H8/G8*100</f>
        <v>155.8539681820838</v>
      </c>
    </row>
    <row r="9" spans="2:10" ht="30" customHeight="1" x14ac:dyDescent="0.25">
      <c r="B9" s="147">
        <v>11</v>
      </c>
      <c r="C9" s="148"/>
      <c r="D9" s="149"/>
      <c r="E9" s="75" t="s">
        <v>92</v>
      </c>
      <c r="F9" s="74">
        <f>+F10+F51</f>
        <v>4862872.93</v>
      </c>
      <c r="G9" s="74">
        <f>+G10+G51</f>
        <v>4907922.93</v>
      </c>
      <c r="H9" s="74">
        <f>+H10+H51</f>
        <v>4624567.9499999993</v>
      </c>
      <c r="I9" s="74">
        <f t="shared" ref="I9:I12" si="0">+H9/G9*100</f>
        <v>94.22658048951881</v>
      </c>
    </row>
    <row r="10" spans="2:10" ht="30" customHeight="1" x14ac:dyDescent="0.25">
      <c r="B10" s="76" t="s">
        <v>93</v>
      </c>
      <c r="C10" s="77"/>
      <c r="D10" s="78"/>
      <c r="E10" s="79" t="s">
        <v>94</v>
      </c>
      <c r="F10" s="74">
        <f>+F11+F33</f>
        <v>551712.14</v>
      </c>
      <c r="G10" s="74">
        <f>+G11+G33</f>
        <v>551712.14</v>
      </c>
      <c r="H10" s="74">
        <f>+H11+H33</f>
        <v>305085.38999999996</v>
      </c>
      <c r="I10" s="74">
        <f t="shared" si="0"/>
        <v>55.297929460098516</v>
      </c>
    </row>
    <row r="11" spans="2:10" ht="30" customHeight="1" x14ac:dyDescent="0.25">
      <c r="B11" s="76"/>
      <c r="C11" s="77">
        <v>3</v>
      </c>
      <c r="D11" s="78"/>
      <c r="E11" s="79" t="s">
        <v>4</v>
      </c>
      <c r="F11" s="69">
        <f>+F12</f>
        <v>180287.35999999999</v>
      </c>
      <c r="G11" s="69">
        <f>+G12</f>
        <v>180287.35999999999</v>
      </c>
      <c r="H11" s="69">
        <f>+H12</f>
        <v>175612.86</v>
      </c>
      <c r="I11" s="69">
        <f t="shared" si="0"/>
        <v>97.407194824972748</v>
      </c>
    </row>
    <row r="12" spans="2:10" ht="30" customHeight="1" x14ac:dyDescent="0.25">
      <c r="B12" s="52"/>
      <c r="C12" s="53"/>
      <c r="D12" s="54">
        <v>32</v>
      </c>
      <c r="E12" s="42" t="s">
        <v>13</v>
      </c>
      <c r="F12" s="69">
        <v>180287.35999999999</v>
      </c>
      <c r="G12" s="69">
        <v>180287.35999999999</v>
      </c>
      <c r="H12" s="69">
        <f>+H13+H16+H21+H29</f>
        <v>175612.86</v>
      </c>
      <c r="I12" s="69">
        <f t="shared" si="0"/>
        <v>97.407194824972748</v>
      </c>
    </row>
    <row r="13" spans="2:10" ht="30" customHeight="1" x14ac:dyDescent="0.25">
      <c r="B13" s="52"/>
      <c r="C13" s="53"/>
      <c r="D13" s="80">
        <v>321</v>
      </c>
      <c r="E13" s="42" t="s">
        <v>41</v>
      </c>
      <c r="F13" s="69"/>
      <c r="G13" s="69"/>
      <c r="H13" s="69">
        <f>+H14+H15</f>
        <v>18811.359999999997</v>
      </c>
      <c r="I13" s="69"/>
    </row>
    <row r="14" spans="2:10" ht="30" customHeight="1" x14ac:dyDescent="0.25">
      <c r="B14" s="52"/>
      <c r="C14" s="53"/>
      <c r="D14" s="81">
        <v>3211</v>
      </c>
      <c r="E14" s="42" t="s">
        <v>42</v>
      </c>
      <c r="F14" s="69"/>
      <c r="G14" s="69"/>
      <c r="H14" s="69">
        <f>7484.16+663.61+2654.46+1327.23+950.38+1086.23</f>
        <v>14166.069999999998</v>
      </c>
      <c r="I14" s="69"/>
    </row>
    <row r="15" spans="2:10" ht="30" customHeight="1" x14ac:dyDescent="0.25">
      <c r="B15" s="52"/>
      <c r="C15" s="53"/>
      <c r="D15" s="81">
        <v>3213</v>
      </c>
      <c r="E15" s="42" t="s">
        <v>95</v>
      </c>
      <c r="F15" s="69"/>
      <c r="G15" s="69"/>
      <c r="H15" s="69">
        <f>3318.07+663.61+663.61</f>
        <v>4645.29</v>
      </c>
      <c r="I15" s="69"/>
    </row>
    <row r="16" spans="2:10" ht="30" customHeight="1" x14ac:dyDescent="0.25">
      <c r="B16" s="52"/>
      <c r="C16" s="53"/>
      <c r="D16" s="80">
        <v>322</v>
      </c>
      <c r="E16" s="42" t="s">
        <v>96</v>
      </c>
      <c r="F16" s="69"/>
      <c r="G16" s="69"/>
      <c r="H16" s="69">
        <f>+H17+H18+H19+H20</f>
        <v>47099.159999999996</v>
      </c>
      <c r="I16" s="69"/>
    </row>
    <row r="17" spans="2:10" ht="30" customHeight="1" x14ac:dyDescent="0.25">
      <c r="B17" s="52"/>
      <c r="C17" s="53"/>
      <c r="D17" s="81">
        <v>3221</v>
      </c>
      <c r="E17" s="42" t="s">
        <v>97</v>
      </c>
      <c r="F17" s="69"/>
      <c r="G17" s="69"/>
      <c r="H17" s="69">
        <f>807.5+22562.88+6636.14+11385.56+2097.02+265.45</f>
        <v>43754.549999999996</v>
      </c>
      <c r="I17" s="69"/>
    </row>
    <row r="18" spans="2:10" ht="30" customHeight="1" x14ac:dyDescent="0.25">
      <c r="B18" s="52"/>
      <c r="C18" s="53"/>
      <c r="D18" s="81">
        <v>3224</v>
      </c>
      <c r="E18" s="42" t="s">
        <v>98</v>
      </c>
      <c r="F18" s="69"/>
      <c r="G18" s="69"/>
      <c r="H18" s="69">
        <v>663.61</v>
      </c>
      <c r="I18" s="69"/>
    </row>
    <row r="19" spans="2:10" ht="30" customHeight="1" x14ac:dyDescent="0.25">
      <c r="B19" s="52"/>
      <c r="C19" s="53"/>
      <c r="D19" s="81">
        <v>3225</v>
      </c>
      <c r="E19" s="42" t="s">
        <v>99</v>
      </c>
      <c r="F19" s="69"/>
      <c r="G19" s="69"/>
      <c r="H19" s="69">
        <v>0</v>
      </c>
      <c r="I19" s="69"/>
    </row>
    <row r="20" spans="2:10" ht="30" customHeight="1" x14ac:dyDescent="0.25">
      <c r="B20" s="52"/>
      <c r="C20" s="53"/>
      <c r="D20" s="81">
        <v>3227</v>
      </c>
      <c r="E20" s="42" t="s">
        <v>100</v>
      </c>
      <c r="F20" s="69"/>
      <c r="G20" s="69"/>
      <c r="H20" s="69">
        <f>1327.23+26.54+1327.23</f>
        <v>2681</v>
      </c>
      <c r="I20" s="69"/>
    </row>
    <row r="21" spans="2:10" x14ac:dyDescent="0.25">
      <c r="B21" s="52"/>
      <c r="C21" s="53"/>
      <c r="D21" s="80">
        <v>323</v>
      </c>
      <c r="E21" s="42" t="s">
        <v>101</v>
      </c>
      <c r="F21" s="71"/>
      <c r="G21" s="71"/>
      <c r="H21" s="71">
        <f>+H22+H23+H24+H25+H26+H27+H28</f>
        <v>99626.94</v>
      </c>
      <c r="I21" s="71"/>
    </row>
    <row r="22" spans="2:10" x14ac:dyDescent="0.25">
      <c r="B22" s="52"/>
      <c r="C22" s="53"/>
      <c r="D22" s="81">
        <v>3231</v>
      </c>
      <c r="E22" s="42" t="s">
        <v>102</v>
      </c>
      <c r="F22" s="71"/>
      <c r="G22" s="71"/>
      <c r="H22" s="71">
        <f>72.49+701.97</f>
        <v>774.46</v>
      </c>
      <c r="I22" s="71"/>
    </row>
    <row r="23" spans="2:10" x14ac:dyDescent="0.25">
      <c r="B23" s="52"/>
      <c r="C23" s="53"/>
      <c r="D23" s="81">
        <v>3232</v>
      </c>
      <c r="E23" s="42" t="s">
        <v>103</v>
      </c>
      <c r="F23" s="83"/>
      <c r="G23" s="83"/>
      <c r="H23" s="86">
        <f>1327.23+1900</f>
        <v>3227.23</v>
      </c>
      <c r="I23" s="83"/>
    </row>
    <row r="24" spans="2:10" x14ac:dyDescent="0.25">
      <c r="B24" s="52"/>
      <c r="C24" s="53"/>
      <c r="D24" s="81">
        <v>3233</v>
      </c>
      <c r="E24" s="42" t="s">
        <v>104</v>
      </c>
      <c r="F24" s="83"/>
      <c r="G24" s="83"/>
      <c r="H24" s="86">
        <v>138.66999999999999</v>
      </c>
      <c r="I24" s="83"/>
    </row>
    <row r="25" spans="2:10" x14ac:dyDescent="0.25">
      <c r="B25" s="52"/>
      <c r="C25" s="53"/>
      <c r="D25" s="81">
        <v>3235</v>
      </c>
      <c r="E25" s="42" t="s">
        <v>105</v>
      </c>
      <c r="F25" s="83"/>
      <c r="G25" s="83"/>
      <c r="H25" s="86">
        <v>4195.92</v>
      </c>
      <c r="I25" s="83"/>
    </row>
    <row r="26" spans="2:10" x14ac:dyDescent="0.25">
      <c r="B26" s="52"/>
      <c r="C26" s="53"/>
      <c r="D26" s="81">
        <v>3237</v>
      </c>
      <c r="E26" s="42" t="s">
        <v>106</v>
      </c>
      <c r="F26" s="71"/>
      <c r="G26" s="71"/>
      <c r="H26" s="71">
        <f>1327.23+2986.26+13272.28+199.08+2644.5+7113.94+2322.65+2654.46</f>
        <v>32520.400000000001</v>
      </c>
      <c r="I26" s="71"/>
      <c r="J26" s="57"/>
    </row>
    <row r="27" spans="2:10" x14ac:dyDescent="0.25">
      <c r="B27" s="52"/>
      <c r="C27" s="53"/>
      <c r="D27" s="81">
        <v>3238</v>
      </c>
      <c r="E27" s="42" t="s">
        <v>107</v>
      </c>
      <c r="F27" s="71"/>
      <c r="G27" s="71"/>
      <c r="H27" s="71">
        <f>1990.8+1225+5308.91</f>
        <v>8524.7099999999991</v>
      </c>
      <c r="I27" s="71"/>
    </row>
    <row r="28" spans="2:10" x14ac:dyDescent="0.25">
      <c r="B28" s="52"/>
      <c r="C28" s="53"/>
      <c r="D28" s="81">
        <v>3239</v>
      </c>
      <c r="E28" s="42" t="s">
        <v>108</v>
      </c>
      <c r="F28" s="71"/>
      <c r="G28" s="71"/>
      <c r="H28" s="71">
        <f>3052.62+5892.89+24553.72+1321.28+1327.23+6634.25+1114.8+2654.46+398.17+3296.13</f>
        <v>50245.55</v>
      </c>
      <c r="I28" s="71"/>
    </row>
    <row r="29" spans="2:10" x14ac:dyDescent="0.25">
      <c r="B29" s="52"/>
      <c r="C29" s="53"/>
      <c r="D29" s="80">
        <v>329</v>
      </c>
      <c r="E29" s="42" t="s">
        <v>109</v>
      </c>
      <c r="F29" s="71"/>
      <c r="G29" s="71"/>
      <c r="H29" s="71">
        <f>+H30+H31+H32</f>
        <v>10075.4</v>
      </c>
      <c r="I29" s="71"/>
    </row>
    <row r="30" spans="2:10" x14ac:dyDescent="0.25">
      <c r="B30" s="52"/>
      <c r="C30" s="53"/>
      <c r="D30" s="81">
        <v>3292</v>
      </c>
      <c r="E30" s="42" t="s">
        <v>110</v>
      </c>
      <c r="F30" s="71"/>
      <c r="G30" s="71"/>
      <c r="H30" s="71">
        <v>0</v>
      </c>
      <c r="I30" s="71"/>
    </row>
    <row r="31" spans="2:10" x14ac:dyDescent="0.25">
      <c r="B31" s="52"/>
      <c r="C31" s="53"/>
      <c r="D31" s="81">
        <v>3293</v>
      </c>
      <c r="E31" s="42" t="s">
        <v>111</v>
      </c>
      <c r="F31" s="71"/>
      <c r="G31" s="71"/>
      <c r="H31" s="71">
        <f>663.61+5828.65+530.89+1061.79+663.23</f>
        <v>8748.17</v>
      </c>
      <c r="I31" s="71"/>
    </row>
    <row r="32" spans="2:10" x14ac:dyDescent="0.25">
      <c r="B32" s="52"/>
      <c r="C32" s="53"/>
      <c r="D32" s="81">
        <v>3294</v>
      </c>
      <c r="E32" s="42" t="s">
        <v>112</v>
      </c>
      <c r="F32" s="71"/>
      <c r="G32" s="71"/>
      <c r="H32" s="71">
        <v>1327.23</v>
      </c>
      <c r="I32" s="71"/>
    </row>
    <row r="33" spans="2:9" ht="25.5" x14ac:dyDescent="0.25">
      <c r="B33" s="52"/>
      <c r="C33" s="53">
        <v>4</v>
      </c>
      <c r="D33" s="78"/>
      <c r="E33" s="79" t="s">
        <v>6</v>
      </c>
      <c r="F33" s="71">
        <f>+F34+F37+F45+F48</f>
        <v>371424.78</v>
      </c>
      <c r="G33" s="71">
        <f>+G34+G37+G45+G48</f>
        <v>371424.78</v>
      </c>
      <c r="H33" s="71">
        <f>+H34+H37+H45+H48</f>
        <v>129472.52999999998</v>
      </c>
      <c r="I33" s="69">
        <f t="shared" ref="I33" si="1">+H33/G33*100</f>
        <v>34.858344669410577</v>
      </c>
    </row>
    <row r="34" spans="2:9" ht="25.5" x14ac:dyDescent="0.25">
      <c r="B34" s="52"/>
      <c r="C34" s="53"/>
      <c r="D34" s="54">
        <v>41</v>
      </c>
      <c r="E34" s="42" t="s">
        <v>7</v>
      </c>
      <c r="F34" s="71">
        <v>132.72</v>
      </c>
      <c r="G34" s="71">
        <v>132.72</v>
      </c>
      <c r="H34" s="71">
        <f>+H35</f>
        <v>0</v>
      </c>
      <c r="I34" s="71"/>
    </row>
    <row r="35" spans="2:9" x14ac:dyDescent="0.25">
      <c r="B35" s="52"/>
      <c r="C35" s="53"/>
      <c r="D35" s="80">
        <v>412</v>
      </c>
      <c r="E35" s="42" t="s">
        <v>113</v>
      </c>
      <c r="F35" s="71"/>
      <c r="G35" s="71"/>
      <c r="H35" s="71">
        <f>+H36</f>
        <v>0</v>
      </c>
      <c r="I35" s="71"/>
    </row>
    <row r="36" spans="2:9" x14ac:dyDescent="0.25">
      <c r="B36" s="52"/>
      <c r="C36" s="53"/>
      <c r="D36" s="81">
        <v>4123</v>
      </c>
      <c r="E36" s="42" t="s">
        <v>114</v>
      </c>
      <c r="F36" s="71"/>
      <c r="G36" s="71"/>
      <c r="H36" s="71">
        <v>0</v>
      </c>
      <c r="I36" s="71"/>
    </row>
    <row r="37" spans="2:9" ht="25.5" x14ac:dyDescent="0.25">
      <c r="B37" s="52"/>
      <c r="C37" s="53"/>
      <c r="D37" s="54">
        <v>42</v>
      </c>
      <c r="E37" s="42" t="s">
        <v>115</v>
      </c>
      <c r="F37" s="71">
        <v>84610.79</v>
      </c>
      <c r="G37" s="71">
        <v>84610.79</v>
      </c>
      <c r="H37" s="71">
        <f>+H38+H43</f>
        <v>94523.999999999985</v>
      </c>
      <c r="I37" s="69">
        <f t="shared" ref="I37" si="2">+H37/G37*100</f>
        <v>111.71624801044877</v>
      </c>
    </row>
    <row r="38" spans="2:9" x14ac:dyDescent="0.25">
      <c r="B38" s="52"/>
      <c r="C38" s="53"/>
      <c r="D38" s="80">
        <v>422</v>
      </c>
      <c r="E38" s="42" t="s">
        <v>116</v>
      </c>
      <c r="F38" s="71"/>
      <c r="G38" s="71"/>
      <c r="H38" s="71">
        <f>+H39+H40+H41+H42</f>
        <v>89265.719999999987</v>
      </c>
      <c r="I38" s="71"/>
    </row>
    <row r="39" spans="2:9" x14ac:dyDescent="0.25">
      <c r="B39" s="52"/>
      <c r="C39" s="53"/>
      <c r="D39" s="81">
        <v>4221</v>
      </c>
      <c r="E39" s="42" t="s">
        <v>117</v>
      </c>
      <c r="F39" s="71"/>
      <c r="G39" s="71"/>
      <c r="H39" s="71">
        <f>10041.81+663.61+37162.39+13935.89+1661.67+2654.46</f>
        <v>66119.83</v>
      </c>
      <c r="I39" s="71"/>
    </row>
    <row r="40" spans="2:9" x14ac:dyDescent="0.25">
      <c r="B40" s="52"/>
      <c r="C40" s="53"/>
      <c r="D40" s="81">
        <v>4223</v>
      </c>
      <c r="E40" s="42" t="s">
        <v>118</v>
      </c>
      <c r="F40" s="71"/>
      <c r="G40" s="71"/>
      <c r="H40" s="71">
        <f>10617.82+3583.52</f>
        <v>14201.34</v>
      </c>
      <c r="I40" s="71"/>
    </row>
    <row r="41" spans="2:9" x14ac:dyDescent="0.25">
      <c r="B41" s="52"/>
      <c r="C41" s="53"/>
      <c r="D41" s="81">
        <v>4225</v>
      </c>
      <c r="E41" s="42" t="s">
        <v>119</v>
      </c>
      <c r="F41" s="71"/>
      <c r="G41" s="71"/>
      <c r="H41" s="71">
        <f>5972.53+1846.51</f>
        <v>7819.04</v>
      </c>
      <c r="I41" s="71"/>
    </row>
    <row r="42" spans="2:9" x14ac:dyDescent="0.25">
      <c r="B42" s="52"/>
      <c r="C42" s="53"/>
      <c r="D42" s="81">
        <v>4227</v>
      </c>
      <c r="E42" s="42" t="s">
        <v>120</v>
      </c>
      <c r="F42" s="71"/>
      <c r="G42" s="71"/>
      <c r="H42" s="71">
        <v>1125.51</v>
      </c>
      <c r="I42" s="71"/>
    </row>
    <row r="43" spans="2:9" ht="25.5" x14ac:dyDescent="0.25">
      <c r="B43" s="52"/>
      <c r="C43" s="53"/>
      <c r="D43" s="80">
        <v>424</v>
      </c>
      <c r="E43" s="42" t="s">
        <v>121</v>
      </c>
      <c r="F43" s="71"/>
      <c r="G43" s="71"/>
      <c r="H43" s="71">
        <f>+H44</f>
        <v>5258.28</v>
      </c>
      <c r="I43" s="71"/>
    </row>
    <row r="44" spans="2:9" x14ac:dyDescent="0.25">
      <c r="B44" s="52"/>
      <c r="C44" s="53"/>
      <c r="D44" s="81">
        <v>4241</v>
      </c>
      <c r="E44" s="42" t="s">
        <v>122</v>
      </c>
      <c r="F44" s="71"/>
      <c r="G44" s="71"/>
      <c r="H44" s="71">
        <f>3201.08+1791.75+265.45</f>
        <v>5258.28</v>
      </c>
      <c r="I44" s="71"/>
    </row>
    <row r="45" spans="2:9" ht="25.5" x14ac:dyDescent="0.25">
      <c r="B45" s="52"/>
      <c r="C45" s="53"/>
      <c r="D45" s="54">
        <v>43</v>
      </c>
      <c r="E45" s="42" t="s">
        <v>123</v>
      </c>
      <c r="F45" s="71">
        <v>21235.65</v>
      </c>
      <c r="G45" s="71">
        <v>21235.65</v>
      </c>
      <c r="H45" s="71">
        <f>+H46</f>
        <v>20847.28</v>
      </c>
      <c r="I45" s="69">
        <f t="shared" ref="I45" si="3">+H45/G45*100</f>
        <v>98.17114145316954</v>
      </c>
    </row>
    <row r="46" spans="2:9" ht="25.5" x14ac:dyDescent="0.25">
      <c r="B46" s="52"/>
      <c r="C46" s="53"/>
      <c r="D46" s="80">
        <v>431</v>
      </c>
      <c r="E46" s="42" t="s">
        <v>124</v>
      </c>
      <c r="F46" s="71"/>
      <c r="G46" s="71"/>
      <c r="H46" s="71">
        <f>+H47</f>
        <v>20847.28</v>
      </c>
      <c r="I46" s="71"/>
    </row>
    <row r="47" spans="2:9" x14ac:dyDescent="0.25">
      <c r="B47" s="52"/>
      <c r="C47" s="53"/>
      <c r="D47" s="81">
        <v>4312</v>
      </c>
      <c r="E47" s="42" t="s">
        <v>125</v>
      </c>
      <c r="F47" s="71"/>
      <c r="G47" s="71"/>
      <c r="H47" s="71">
        <v>20847.28</v>
      </c>
      <c r="I47" s="71"/>
    </row>
    <row r="48" spans="2:9" ht="25.5" x14ac:dyDescent="0.25">
      <c r="B48" s="52"/>
      <c r="C48" s="53"/>
      <c r="D48" s="54">
        <v>45</v>
      </c>
      <c r="E48" s="42" t="s">
        <v>126</v>
      </c>
      <c r="F48" s="71">
        <v>265445.62</v>
      </c>
      <c r="G48" s="71">
        <v>265445.62</v>
      </c>
      <c r="H48" s="71">
        <f>+H49</f>
        <v>14101.25</v>
      </c>
      <c r="I48" s="69">
        <f t="shared" ref="I48" si="4">+H48/G48*100</f>
        <v>5.3122933427946561</v>
      </c>
    </row>
    <row r="49" spans="2:9" x14ac:dyDescent="0.25">
      <c r="B49" s="52"/>
      <c r="C49" s="53"/>
      <c r="D49" s="80">
        <v>451</v>
      </c>
      <c r="E49" s="42" t="s">
        <v>127</v>
      </c>
      <c r="F49" s="71"/>
      <c r="G49" s="71"/>
      <c r="H49" s="71">
        <f>+H50</f>
        <v>14101.25</v>
      </c>
      <c r="I49" s="71"/>
    </row>
    <row r="50" spans="2:9" x14ac:dyDescent="0.25">
      <c r="B50" s="52"/>
      <c r="C50" s="53"/>
      <c r="D50" s="81">
        <v>4511</v>
      </c>
      <c r="E50" s="42" t="s">
        <v>127</v>
      </c>
      <c r="F50" s="71"/>
      <c r="G50" s="71"/>
      <c r="H50" s="71">
        <v>14101.25</v>
      </c>
      <c r="I50" s="71"/>
    </row>
    <row r="51" spans="2:9" x14ac:dyDescent="0.25">
      <c r="B51" s="76" t="s">
        <v>128</v>
      </c>
      <c r="C51" s="77"/>
      <c r="D51" s="78"/>
      <c r="E51" s="79" t="s">
        <v>129</v>
      </c>
      <c r="F51" s="107">
        <f>+F52</f>
        <v>4311160.79</v>
      </c>
      <c r="G51" s="107">
        <f>+G52</f>
        <v>4356210.79</v>
      </c>
      <c r="H51" s="107">
        <f>+H52</f>
        <v>4319482.5599999996</v>
      </c>
      <c r="I51" s="74">
        <f t="shared" ref="I51:I53" si="5">+H51/G51*100</f>
        <v>99.156876657935996</v>
      </c>
    </row>
    <row r="52" spans="2:9" x14ac:dyDescent="0.25">
      <c r="B52" s="76"/>
      <c r="C52" s="77">
        <v>3</v>
      </c>
      <c r="D52" s="78"/>
      <c r="E52" s="79" t="s">
        <v>4</v>
      </c>
      <c r="F52" s="71">
        <f>+F53+F63+F91</f>
        <v>4311160.79</v>
      </c>
      <c r="G52" s="71">
        <f>+G53+G63+G91</f>
        <v>4356210.79</v>
      </c>
      <c r="H52" s="71">
        <f>+H53+H63+H91</f>
        <v>4319482.5599999996</v>
      </c>
      <c r="I52" s="69">
        <f t="shared" si="5"/>
        <v>99.156876657935996</v>
      </c>
    </row>
    <row r="53" spans="2:9" x14ac:dyDescent="0.25">
      <c r="B53" s="52"/>
      <c r="C53" s="53"/>
      <c r="D53" s="54">
        <v>31</v>
      </c>
      <c r="E53" s="42" t="s">
        <v>5</v>
      </c>
      <c r="F53" s="71">
        <v>3494569.09</v>
      </c>
      <c r="G53" s="71">
        <f>3494569.09+45050</f>
        <v>3539619.09</v>
      </c>
      <c r="H53" s="71">
        <f>+H54+H58+H60</f>
        <v>3542508.43</v>
      </c>
      <c r="I53" s="69">
        <f t="shared" si="5"/>
        <v>100.08162855738243</v>
      </c>
    </row>
    <row r="54" spans="2:9" x14ac:dyDescent="0.25">
      <c r="B54" s="52"/>
      <c r="C54" s="53"/>
      <c r="D54" s="80">
        <v>311</v>
      </c>
      <c r="E54" s="42" t="s">
        <v>130</v>
      </c>
      <c r="F54" s="71"/>
      <c r="G54" s="71"/>
      <c r="H54" s="71">
        <f>+H55+H56+H57</f>
        <v>2925100.7</v>
      </c>
      <c r="I54" s="71"/>
    </row>
    <row r="55" spans="2:9" x14ac:dyDescent="0.25">
      <c r="B55" s="52"/>
      <c r="C55" s="53"/>
      <c r="D55" s="81">
        <v>3111</v>
      </c>
      <c r="E55" s="42" t="s">
        <v>40</v>
      </c>
      <c r="F55" s="71"/>
      <c r="G55" s="71"/>
      <c r="H55" s="71">
        <f>2876757+5065.41</f>
        <v>2881822.41</v>
      </c>
      <c r="I55" s="71"/>
    </row>
    <row r="56" spans="2:9" x14ac:dyDescent="0.25">
      <c r="B56" s="52"/>
      <c r="C56" s="53"/>
      <c r="D56" s="81">
        <v>3113</v>
      </c>
      <c r="E56" s="42" t="s">
        <v>131</v>
      </c>
      <c r="F56" s="71"/>
      <c r="G56" s="71"/>
      <c r="H56" s="71">
        <v>25169.38</v>
      </c>
      <c r="I56" s="71"/>
    </row>
    <row r="57" spans="2:9" x14ac:dyDescent="0.25">
      <c r="B57" s="52"/>
      <c r="C57" s="53"/>
      <c r="D57" s="81">
        <v>3114</v>
      </c>
      <c r="E57" s="42" t="s">
        <v>132</v>
      </c>
      <c r="F57" s="71"/>
      <c r="G57" s="71"/>
      <c r="H57" s="71">
        <v>18108.91</v>
      </c>
      <c r="I57" s="71"/>
    </row>
    <row r="58" spans="2:9" x14ac:dyDescent="0.25">
      <c r="B58" s="52"/>
      <c r="C58" s="53"/>
      <c r="D58" s="80">
        <v>312</v>
      </c>
      <c r="E58" s="42" t="s">
        <v>133</v>
      </c>
      <c r="F58" s="71"/>
      <c r="G58" s="71"/>
      <c r="H58" s="71">
        <f>+H59</f>
        <v>134146.32</v>
      </c>
      <c r="I58" s="71"/>
    </row>
    <row r="59" spans="2:9" x14ac:dyDescent="0.25">
      <c r="B59" s="52"/>
      <c r="C59" s="53"/>
      <c r="D59" s="81">
        <v>3121</v>
      </c>
      <c r="E59" s="42" t="s">
        <v>133</v>
      </c>
      <c r="F59" s="71"/>
      <c r="G59" s="71"/>
      <c r="H59" s="71">
        <f>8300+8658.25+15762.85+1474.37+3281.15+441.44+48692.67+46800+735.59</f>
        <v>134146.32</v>
      </c>
      <c r="I59" s="71"/>
    </row>
    <row r="60" spans="2:9" x14ac:dyDescent="0.25">
      <c r="B60" s="52"/>
      <c r="C60" s="53"/>
      <c r="D60" s="80">
        <v>313</v>
      </c>
      <c r="E60" s="42" t="s">
        <v>134</v>
      </c>
      <c r="F60" s="71"/>
      <c r="G60" s="71"/>
      <c r="H60" s="71">
        <f>+H61+H62</f>
        <v>483261.41000000003</v>
      </c>
      <c r="I60" s="71"/>
    </row>
    <row r="61" spans="2:9" x14ac:dyDescent="0.25">
      <c r="B61" s="52"/>
      <c r="C61" s="53"/>
      <c r="D61" s="81">
        <v>3132</v>
      </c>
      <c r="E61" s="42" t="s">
        <v>135</v>
      </c>
      <c r="F61" s="71"/>
      <c r="G61" s="71"/>
      <c r="H61" s="71">
        <f>482562.03+630.29</f>
        <v>483192.32000000001</v>
      </c>
      <c r="I61" s="71"/>
    </row>
    <row r="62" spans="2:9" ht="25.5" x14ac:dyDescent="0.25">
      <c r="B62" s="52"/>
      <c r="C62" s="53"/>
      <c r="D62" s="81">
        <v>3133</v>
      </c>
      <c r="E62" s="42" t="s">
        <v>220</v>
      </c>
      <c r="F62" s="71"/>
      <c r="G62" s="71"/>
      <c r="H62" s="71">
        <v>69.09</v>
      </c>
      <c r="I62" s="71"/>
    </row>
    <row r="63" spans="2:9" x14ac:dyDescent="0.25">
      <c r="B63" s="52"/>
      <c r="C63" s="53"/>
      <c r="D63" s="54">
        <v>32</v>
      </c>
      <c r="E63" s="42" t="s">
        <v>13</v>
      </c>
      <c r="F63" s="71">
        <v>812528.7</v>
      </c>
      <c r="G63" s="71">
        <v>812528.7</v>
      </c>
      <c r="H63" s="71">
        <f>+H64+H68+H74+H84</f>
        <v>772976.28</v>
      </c>
      <c r="I63" s="69">
        <f t="shared" ref="I63" si="6">+H63/G63*100</f>
        <v>95.132181792470845</v>
      </c>
    </row>
    <row r="64" spans="2:9" x14ac:dyDescent="0.25">
      <c r="B64" s="52"/>
      <c r="C64" s="53"/>
      <c r="D64" s="80">
        <v>321</v>
      </c>
      <c r="E64" s="42" t="s">
        <v>41</v>
      </c>
      <c r="F64" s="71"/>
      <c r="G64" s="71"/>
      <c r="H64" s="71">
        <f>+H65+H66+H67</f>
        <v>94590.23000000001</v>
      </c>
      <c r="I64" s="71"/>
    </row>
    <row r="65" spans="2:9" x14ac:dyDescent="0.25">
      <c r="B65" s="52"/>
      <c r="C65" s="53"/>
      <c r="D65" s="81">
        <v>3211</v>
      </c>
      <c r="E65" s="42" t="s">
        <v>42</v>
      </c>
      <c r="F65" s="71"/>
      <c r="G65" s="71"/>
      <c r="H65" s="71">
        <v>8114.88</v>
      </c>
      <c r="I65" s="71"/>
    </row>
    <row r="66" spans="2:9" x14ac:dyDescent="0.25">
      <c r="B66" s="52"/>
      <c r="C66" s="53"/>
      <c r="D66" s="81">
        <v>3212</v>
      </c>
      <c r="E66" s="42" t="s">
        <v>136</v>
      </c>
      <c r="F66" s="71"/>
      <c r="G66" s="71"/>
      <c r="H66" s="71">
        <v>77475.350000000006</v>
      </c>
      <c r="I66" s="71"/>
    </row>
    <row r="67" spans="2:9" x14ac:dyDescent="0.25">
      <c r="B67" s="52"/>
      <c r="C67" s="53"/>
      <c r="D67" s="81">
        <v>3213</v>
      </c>
      <c r="E67" s="42" t="s">
        <v>95</v>
      </c>
      <c r="F67" s="71"/>
      <c r="G67" s="71"/>
      <c r="H67" s="71">
        <v>9000</v>
      </c>
      <c r="I67" s="71"/>
    </row>
    <row r="68" spans="2:9" x14ac:dyDescent="0.25">
      <c r="B68" s="52"/>
      <c r="C68" s="53"/>
      <c r="D68" s="80">
        <v>322</v>
      </c>
      <c r="E68" s="42" t="s">
        <v>96</v>
      </c>
      <c r="F68" s="71"/>
      <c r="G68" s="71"/>
      <c r="H68" s="71">
        <f>+H69+H70+H71+H72+H73</f>
        <v>229103.53999999998</v>
      </c>
      <c r="I68" s="71"/>
    </row>
    <row r="69" spans="2:9" x14ac:dyDescent="0.25">
      <c r="B69" s="52"/>
      <c r="C69" s="53"/>
      <c r="D69" s="81">
        <v>3221</v>
      </c>
      <c r="E69" s="42" t="s">
        <v>97</v>
      </c>
      <c r="F69" s="71"/>
      <c r="G69" s="71"/>
      <c r="H69" s="71">
        <v>19000</v>
      </c>
      <c r="I69" s="71"/>
    </row>
    <row r="70" spans="2:9" x14ac:dyDescent="0.25">
      <c r="B70" s="52"/>
      <c r="C70" s="53"/>
      <c r="D70" s="81">
        <v>3223</v>
      </c>
      <c r="E70" s="42" t="s">
        <v>137</v>
      </c>
      <c r="F70" s="71"/>
      <c r="G70" s="71"/>
      <c r="H70" s="71">
        <v>186120.27</v>
      </c>
      <c r="I70" s="71"/>
    </row>
    <row r="71" spans="2:9" ht="25.5" x14ac:dyDescent="0.25">
      <c r="B71" s="52"/>
      <c r="C71" s="53"/>
      <c r="D71" s="81">
        <v>3224</v>
      </c>
      <c r="E71" s="42" t="s">
        <v>98</v>
      </c>
      <c r="F71" s="71"/>
      <c r="G71" s="71"/>
      <c r="H71" s="71">
        <v>8597.39</v>
      </c>
      <c r="I71" s="71"/>
    </row>
    <row r="72" spans="2:9" x14ac:dyDescent="0.25">
      <c r="B72" s="52"/>
      <c r="C72" s="53"/>
      <c r="D72" s="81">
        <v>3225</v>
      </c>
      <c r="E72" s="42" t="s">
        <v>99</v>
      </c>
      <c r="F72" s="71"/>
      <c r="G72" s="71"/>
      <c r="H72" s="71">
        <v>13385.88</v>
      </c>
      <c r="I72" s="71"/>
    </row>
    <row r="73" spans="2:9" x14ac:dyDescent="0.25">
      <c r="B73" s="52"/>
      <c r="C73" s="53"/>
      <c r="D73" s="81">
        <v>3227</v>
      </c>
      <c r="E73" s="42" t="s">
        <v>100</v>
      </c>
      <c r="F73" s="71"/>
      <c r="G73" s="71"/>
      <c r="H73" s="71">
        <v>2000</v>
      </c>
      <c r="I73" s="71"/>
    </row>
    <row r="74" spans="2:9" x14ac:dyDescent="0.25">
      <c r="B74" s="52"/>
      <c r="C74" s="53"/>
      <c r="D74" s="80">
        <v>323</v>
      </c>
      <c r="E74" s="42" t="s">
        <v>101</v>
      </c>
      <c r="F74" s="71"/>
      <c r="G74" s="71"/>
      <c r="H74" s="71">
        <f>+H75+H76+H77+H78+H79+H80+H81+H82+H83</f>
        <v>423839.73</v>
      </c>
      <c r="I74" s="71"/>
    </row>
    <row r="75" spans="2:9" x14ac:dyDescent="0.25">
      <c r="B75" s="52"/>
      <c r="C75" s="53"/>
      <c r="D75" s="81">
        <v>3231</v>
      </c>
      <c r="E75" s="42" t="s">
        <v>102</v>
      </c>
      <c r="F75" s="71"/>
      <c r="G75" s="71"/>
      <c r="H75" s="71">
        <v>22285.63</v>
      </c>
      <c r="I75" s="71"/>
    </row>
    <row r="76" spans="2:9" x14ac:dyDescent="0.25">
      <c r="B76" s="52"/>
      <c r="C76" s="53"/>
      <c r="D76" s="81">
        <v>3232</v>
      </c>
      <c r="E76" s="42" t="s">
        <v>103</v>
      </c>
      <c r="F76" s="71"/>
      <c r="G76" s="71"/>
      <c r="H76" s="71">
        <v>218605.97</v>
      </c>
      <c r="I76" s="71"/>
    </row>
    <row r="77" spans="2:9" x14ac:dyDescent="0.25">
      <c r="B77" s="52"/>
      <c r="C77" s="53"/>
      <c r="D77" s="81">
        <v>3233</v>
      </c>
      <c r="E77" s="42" t="s">
        <v>104</v>
      </c>
      <c r="F77" s="71"/>
      <c r="G77" s="71"/>
      <c r="H77" s="71">
        <v>4518.1099999999997</v>
      </c>
      <c r="I77" s="71"/>
    </row>
    <row r="78" spans="2:9" x14ac:dyDescent="0.25">
      <c r="B78" s="52"/>
      <c r="C78" s="53"/>
      <c r="D78" s="81">
        <v>3234</v>
      </c>
      <c r="E78" s="42" t="s">
        <v>138</v>
      </c>
      <c r="F78" s="71"/>
      <c r="G78" s="71"/>
      <c r="H78" s="71">
        <v>48135</v>
      </c>
      <c r="I78" s="71"/>
    </row>
    <row r="79" spans="2:9" x14ac:dyDescent="0.25">
      <c r="B79" s="52"/>
      <c r="C79" s="53"/>
      <c r="D79" s="81">
        <v>3235</v>
      </c>
      <c r="E79" s="42" t="s">
        <v>105</v>
      </c>
      <c r="F79" s="71"/>
      <c r="G79" s="71"/>
      <c r="H79" s="71">
        <v>24376.82</v>
      </c>
      <c r="I79" s="71"/>
    </row>
    <row r="80" spans="2:9" x14ac:dyDescent="0.25">
      <c r="B80" s="52"/>
      <c r="C80" s="53"/>
      <c r="D80" s="81">
        <v>3236</v>
      </c>
      <c r="E80" s="42" t="s">
        <v>139</v>
      </c>
      <c r="F80" s="71"/>
      <c r="G80" s="71"/>
      <c r="H80" s="71">
        <v>10918.2</v>
      </c>
      <c r="I80" s="71"/>
    </row>
    <row r="81" spans="2:9" x14ac:dyDescent="0.25">
      <c r="B81" s="52"/>
      <c r="C81" s="53"/>
      <c r="D81" s="81">
        <v>3237</v>
      </c>
      <c r="E81" s="42" t="s">
        <v>106</v>
      </c>
      <c r="F81" s="71"/>
      <c r="G81" s="71"/>
      <c r="H81" s="71">
        <v>20000</v>
      </c>
      <c r="I81" s="71"/>
    </row>
    <row r="82" spans="2:9" x14ac:dyDescent="0.25">
      <c r="B82" s="52"/>
      <c r="C82" s="53"/>
      <c r="D82" s="81">
        <v>3238</v>
      </c>
      <c r="E82" s="42" t="s">
        <v>107</v>
      </c>
      <c r="F82" s="71"/>
      <c r="G82" s="71"/>
      <c r="H82" s="71">
        <v>17000</v>
      </c>
      <c r="I82" s="71"/>
    </row>
    <row r="83" spans="2:9" x14ac:dyDescent="0.25">
      <c r="B83" s="52"/>
      <c r="C83" s="53"/>
      <c r="D83" s="81">
        <v>3239</v>
      </c>
      <c r="E83" s="42" t="s">
        <v>140</v>
      </c>
      <c r="F83" s="71"/>
      <c r="G83" s="71"/>
      <c r="H83" s="71">
        <v>58000</v>
      </c>
      <c r="I83" s="71"/>
    </row>
    <row r="84" spans="2:9" x14ac:dyDescent="0.25">
      <c r="B84" s="52"/>
      <c r="C84" s="53"/>
      <c r="D84" s="80">
        <v>329</v>
      </c>
      <c r="E84" s="42" t="s">
        <v>109</v>
      </c>
      <c r="F84" s="71"/>
      <c r="G84" s="71"/>
      <c r="H84" s="71">
        <f>+H85+H86+H87+H88+H89+H90</f>
        <v>25442.780000000002</v>
      </c>
      <c r="I84" s="71"/>
    </row>
    <row r="85" spans="2:9" x14ac:dyDescent="0.25">
      <c r="B85" s="52"/>
      <c r="C85" s="53"/>
      <c r="D85" s="81">
        <v>3291</v>
      </c>
      <c r="E85" s="42" t="s">
        <v>141</v>
      </c>
      <c r="F85" s="71"/>
      <c r="G85" s="71"/>
      <c r="H85" s="71">
        <v>0</v>
      </c>
      <c r="I85" s="71"/>
    </row>
    <row r="86" spans="2:9" x14ac:dyDescent="0.25">
      <c r="B86" s="52"/>
      <c r="C86" s="53"/>
      <c r="D86" s="81">
        <v>3292</v>
      </c>
      <c r="E86" s="42" t="s">
        <v>110</v>
      </c>
      <c r="F86" s="71"/>
      <c r="G86" s="71"/>
      <c r="H86" s="71">
        <v>3900</v>
      </c>
      <c r="I86" s="71"/>
    </row>
    <row r="87" spans="2:9" x14ac:dyDescent="0.25">
      <c r="B87" s="52"/>
      <c r="C87" s="53"/>
      <c r="D87" s="81">
        <v>3294</v>
      </c>
      <c r="E87" s="42" t="s">
        <v>112</v>
      </c>
      <c r="F87" s="71"/>
      <c r="G87" s="71"/>
      <c r="H87" s="71">
        <v>8900</v>
      </c>
      <c r="I87" s="71"/>
    </row>
    <row r="88" spans="2:9" x14ac:dyDescent="0.25">
      <c r="B88" s="52"/>
      <c r="C88" s="53"/>
      <c r="D88" s="81">
        <v>3295</v>
      </c>
      <c r="E88" s="42" t="s">
        <v>142</v>
      </c>
      <c r="F88" s="71"/>
      <c r="G88" s="71"/>
      <c r="H88" s="71">
        <f>8326.35+172.53</f>
        <v>8498.880000000001</v>
      </c>
      <c r="I88" s="71"/>
    </row>
    <row r="89" spans="2:9" x14ac:dyDescent="0.25">
      <c r="B89" s="52"/>
      <c r="C89" s="53"/>
      <c r="D89" s="81">
        <v>3296</v>
      </c>
      <c r="E89" s="42" t="s">
        <v>143</v>
      </c>
      <c r="F89" s="71"/>
      <c r="G89" s="71"/>
      <c r="H89" s="71">
        <v>1353.15</v>
      </c>
      <c r="I89" s="71"/>
    </row>
    <row r="90" spans="2:9" x14ac:dyDescent="0.25">
      <c r="B90" s="52"/>
      <c r="C90" s="53"/>
      <c r="D90" s="81">
        <v>3299</v>
      </c>
      <c r="E90" s="42" t="s">
        <v>109</v>
      </c>
      <c r="F90" s="71"/>
      <c r="G90" s="71"/>
      <c r="H90" s="71">
        <v>2790.75</v>
      </c>
      <c r="I90" s="71"/>
    </row>
    <row r="91" spans="2:9" x14ac:dyDescent="0.25">
      <c r="B91" s="52"/>
      <c r="C91" s="53"/>
      <c r="D91" s="54">
        <v>34</v>
      </c>
      <c r="E91" s="42" t="s">
        <v>144</v>
      </c>
      <c r="F91" s="71">
        <v>4063</v>
      </c>
      <c r="G91" s="71">
        <v>4063</v>
      </c>
      <c r="H91" s="71">
        <f>+H92</f>
        <v>3997.85</v>
      </c>
      <c r="I91" s="69">
        <f t="shared" ref="I91" si="7">+H91/G91*100</f>
        <v>98.396505045532862</v>
      </c>
    </row>
    <row r="92" spans="2:9" x14ac:dyDescent="0.25">
      <c r="B92" s="52"/>
      <c r="C92" s="53"/>
      <c r="D92" s="80">
        <v>343</v>
      </c>
      <c r="E92" s="42" t="s">
        <v>145</v>
      </c>
      <c r="F92" s="71"/>
      <c r="G92" s="71"/>
      <c r="H92" s="71">
        <f>+H93+H94</f>
        <v>3997.85</v>
      </c>
      <c r="I92" s="71"/>
    </row>
    <row r="93" spans="2:9" x14ac:dyDescent="0.25">
      <c r="B93" s="52"/>
      <c r="C93" s="53"/>
      <c r="D93" s="81">
        <v>3431</v>
      </c>
      <c r="E93" s="42" t="s">
        <v>146</v>
      </c>
      <c r="F93" s="71"/>
      <c r="G93" s="71"/>
      <c r="H93" s="71">
        <v>3285.08</v>
      </c>
      <c r="I93" s="71"/>
    </row>
    <row r="94" spans="2:9" x14ac:dyDescent="0.25">
      <c r="B94" s="52"/>
      <c r="C94" s="53"/>
      <c r="D94" s="81">
        <v>3433</v>
      </c>
      <c r="E94" s="42" t="s">
        <v>147</v>
      </c>
      <c r="F94" s="71"/>
      <c r="G94" s="71"/>
      <c r="H94" s="71">
        <v>712.77</v>
      </c>
      <c r="I94" s="71"/>
    </row>
    <row r="95" spans="2:9" x14ac:dyDescent="0.25">
      <c r="B95" s="76">
        <v>31</v>
      </c>
      <c r="C95" s="90"/>
      <c r="D95" s="91"/>
      <c r="E95" s="75" t="s">
        <v>148</v>
      </c>
      <c r="F95" s="107">
        <f>+F96</f>
        <v>414670</v>
      </c>
      <c r="G95" s="107">
        <f>+G96</f>
        <v>414670</v>
      </c>
      <c r="H95" s="107">
        <f>+H96</f>
        <v>389434.13</v>
      </c>
      <c r="I95" s="74">
        <f t="shared" ref="I95:I98" si="8">+H95/G95*100</f>
        <v>93.914228181445495</v>
      </c>
    </row>
    <row r="96" spans="2:9" x14ac:dyDescent="0.25">
      <c r="B96" s="76" t="s">
        <v>149</v>
      </c>
      <c r="C96" s="77"/>
      <c r="D96" s="78"/>
      <c r="E96" s="79" t="s">
        <v>129</v>
      </c>
      <c r="F96" s="107">
        <f>+F97+F144</f>
        <v>414670</v>
      </c>
      <c r="G96" s="107">
        <f>+G97+G144</f>
        <v>414670</v>
      </c>
      <c r="H96" s="107">
        <f>+H97+H144</f>
        <v>389434.13</v>
      </c>
      <c r="I96" s="74">
        <f t="shared" si="8"/>
        <v>93.914228181445495</v>
      </c>
    </row>
    <row r="97" spans="2:9" x14ac:dyDescent="0.25">
      <c r="B97" s="52"/>
      <c r="C97" s="53">
        <v>3</v>
      </c>
      <c r="D97" s="54"/>
      <c r="E97" s="42" t="s">
        <v>4</v>
      </c>
      <c r="F97" s="71">
        <f>+F98+F104+F135+F141</f>
        <v>204800</v>
      </c>
      <c r="G97" s="71">
        <f>+G98+G104+G135+G141</f>
        <v>204800</v>
      </c>
      <c r="H97" s="71">
        <f>+H98+H104+H135+H141</f>
        <v>205220.46</v>
      </c>
      <c r="I97" s="69">
        <f t="shared" si="8"/>
        <v>100.205302734375</v>
      </c>
    </row>
    <row r="98" spans="2:9" x14ac:dyDescent="0.25">
      <c r="B98" s="52"/>
      <c r="C98" s="53"/>
      <c r="D98" s="54">
        <v>31</v>
      </c>
      <c r="E98" s="42" t="s">
        <v>5</v>
      </c>
      <c r="F98" s="71">
        <v>42150</v>
      </c>
      <c r="G98" s="71">
        <v>42150</v>
      </c>
      <c r="H98" s="71">
        <f>+H99+H102</f>
        <v>103677.73999999999</v>
      </c>
      <c r="I98" s="69">
        <f t="shared" si="8"/>
        <v>245.9732858837485</v>
      </c>
    </row>
    <row r="99" spans="2:9" x14ac:dyDescent="0.25">
      <c r="B99" s="52"/>
      <c r="C99" s="53"/>
      <c r="D99" s="80">
        <v>311</v>
      </c>
      <c r="E99" s="42" t="s">
        <v>130</v>
      </c>
      <c r="F99" s="71"/>
      <c r="G99" s="71"/>
      <c r="H99" s="71">
        <f>+H100+H101</f>
        <v>3087.5699999999997</v>
      </c>
      <c r="I99" s="71"/>
    </row>
    <row r="100" spans="2:9" x14ac:dyDescent="0.25">
      <c r="B100" s="52"/>
      <c r="C100" s="53"/>
      <c r="D100" s="81">
        <v>3111</v>
      </c>
      <c r="E100" s="42" t="s">
        <v>40</v>
      </c>
      <c r="F100" s="71"/>
      <c r="G100" s="71"/>
      <c r="H100" s="71">
        <v>1977.21</v>
      </c>
      <c r="I100" s="71"/>
    </row>
    <row r="101" spans="2:9" x14ac:dyDescent="0.25">
      <c r="B101" s="52"/>
      <c r="C101" s="53"/>
      <c r="D101" s="81">
        <v>3112</v>
      </c>
      <c r="E101" s="42" t="s">
        <v>150</v>
      </c>
      <c r="F101" s="71"/>
      <c r="G101" s="71"/>
      <c r="H101" s="71">
        <v>1110.3599999999999</v>
      </c>
      <c r="I101" s="71"/>
    </row>
    <row r="102" spans="2:9" x14ac:dyDescent="0.25">
      <c r="B102" s="52"/>
      <c r="C102" s="53"/>
      <c r="D102" s="80">
        <v>312</v>
      </c>
      <c r="E102" s="42" t="s">
        <v>133</v>
      </c>
      <c r="F102" s="71"/>
      <c r="G102" s="71"/>
      <c r="H102" s="71">
        <f>+H103</f>
        <v>100590.17</v>
      </c>
      <c r="I102" s="71"/>
    </row>
    <row r="103" spans="2:9" x14ac:dyDescent="0.25">
      <c r="B103" s="52"/>
      <c r="C103" s="53"/>
      <c r="D103" s="81">
        <v>3121</v>
      </c>
      <c r="E103" s="42" t="s">
        <v>133</v>
      </c>
      <c r="F103" s="71"/>
      <c r="G103" s="71"/>
      <c r="H103" s="71">
        <v>100590.17</v>
      </c>
      <c r="I103" s="71"/>
    </row>
    <row r="104" spans="2:9" x14ac:dyDescent="0.25">
      <c r="B104" s="52"/>
      <c r="C104" s="53"/>
      <c r="D104" s="54">
        <v>32</v>
      </c>
      <c r="E104" s="42" t="s">
        <v>13</v>
      </c>
      <c r="F104" s="71">
        <v>160000</v>
      </c>
      <c r="G104" s="71">
        <v>160000</v>
      </c>
      <c r="H104" s="71">
        <f>+H105+H109+H115+H125+H127</f>
        <v>98164.05</v>
      </c>
      <c r="I104" s="69">
        <f t="shared" ref="I104" si="9">+H104/G104*100</f>
        <v>61.352531249999998</v>
      </c>
    </row>
    <row r="105" spans="2:9" x14ac:dyDescent="0.25">
      <c r="B105" s="52"/>
      <c r="C105" s="53"/>
      <c r="D105" s="80">
        <v>321</v>
      </c>
      <c r="E105" s="42" t="s">
        <v>41</v>
      </c>
      <c r="F105" s="71"/>
      <c r="G105" s="71"/>
      <c r="H105" s="71">
        <f>+H106+H107+H108</f>
        <v>22035.93</v>
      </c>
      <c r="I105" s="71"/>
    </row>
    <row r="106" spans="2:9" x14ac:dyDescent="0.25">
      <c r="B106" s="52"/>
      <c r="C106" s="53"/>
      <c r="D106" s="81">
        <v>3211</v>
      </c>
      <c r="E106" s="42" t="s">
        <v>42</v>
      </c>
      <c r="F106" s="71"/>
      <c r="G106" s="71"/>
      <c r="H106" s="71">
        <v>16390.349999999999</v>
      </c>
      <c r="I106" s="71"/>
    </row>
    <row r="107" spans="2:9" x14ac:dyDescent="0.25">
      <c r="B107" s="52"/>
      <c r="C107" s="53"/>
      <c r="D107" s="81">
        <v>3213</v>
      </c>
      <c r="E107" s="42" t="s">
        <v>95</v>
      </c>
      <c r="F107" s="71"/>
      <c r="G107" s="71"/>
      <c r="H107" s="71">
        <v>5645.58</v>
      </c>
      <c r="I107" s="71"/>
    </row>
    <row r="108" spans="2:9" x14ac:dyDescent="0.25">
      <c r="B108" s="52"/>
      <c r="C108" s="53"/>
      <c r="D108" s="81">
        <v>3214</v>
      </c>
      <c r="E108" s="42" t="s">
        <v>151</v>
      </c>
      <c r="F108" s="71"/>
      <c r="G108" s="71"/>
      <c r="H108" s="71">
        <v>0</v>
      </c>
      <c r="I108" s="71"/>
    </row>
    <row r="109" spans="2:9" x14ac:dyDescent="0.25">
      <c r="B109" s="52"/>
      <c r="C109" s="53"/>
      <c r="D109" s="80">
        <v>322</v>
      </c>
      <c r="E109" s="42" t="s">
        <v>96</v>
      </c>
      <c r="F109" s="71"/>
      <c r="G109" s="71"/>
      <c r="H109" s="71">
        <f>+H110+H111+H112+H113+H114</f>
        <v>5556.91</v>
      </c>
      <c r="I109" s="71"/>
    </row>
    <row r="110" spans="2:9" x14ac:dyDescent="0.25">
      <c r="B110" s="52"/>
      <c r="C110" s="53"/>
      <c r="D110" s="81">
        <v>3221</v>
      </c>
      <c r="E110" s="42" t="s">
        <v>97</v>
      </c>
      <c r="F110" s="71"/>
      <c r="G110" s="71"/>
      <c r="H110" s="71">
        <v>2458.94</v>
      </c>
      <c r="I110" s="71"/>
    </row>
    <row r="111" spans="2:9" x14ac:dyDescent="0.25">
      <c r="B111" s="52"/>
      <c r="C111" s="53"/>
      <c r="D111" s="81">
        <v>3223</v>
      </c>
      <c r="E111" s="42" t="s">
        <v>137</v>
      </c>
      <c r="F111" s="71"/>
      <c r="G111" s="71"/>
      <c r="H111" s="71">
        <v>0</v>
      </c>
      <c r="I111" s="71"/>
    </row>
    <row r="112" spans="2:9" ht="25.5" x14ac:dyDescent="0.25">
      <c r="B112" s="52"/>
      <c r="C112" s="53"/>
      <c r="D112" s="81">
        <v>3224</v>
      </c>
      <c r="E112" s="42" t="s">
        <v>98</v>
      </c>
      <c r="F112" s="71"/>
      <c r="G112" s="71"/>
      <c r="H112" s="71">
        <v>146.62</v>
      </c>
      <c r="I112" s="71"/>
    </row>
    <row r="113" spans="2:9" x14ac:dyDescent="0.25">
      <c r="B113" s="52"/>
      <c r="C113" s="53"/>
      <c r="D113" s="81">
        <v>3225</v>
      </c>
      <c r="E113" s="42" t="s">
        <v>99</v>
      </c>
      <c r="F113" s="71"/>
      <c r="G113" s="71"/>
      <c r="H113" s="71">
        <v>907.5</v>
      </c>
      <c r="I113" s="71"/>
    </row>
    <row r="114" spans="2:9" x14ac:dyDescent="0.25">
      <c r="B114" s="52"/>
      <c r="C114" s="53"/>
      <c r="D114" s="81">
        <v>3227</v>
      </c>
      <c r="E114" s="42" t="s">
        <v>100</v>
      </c>
      <c r="F114" s="71"/>
      <c r="G114" s="71"/>
      <c r="H114" s="71">
        <v>2043.85</v>
      </c>
      <c r="I114" s="71"/>
    </row>
    <row r="115" spans="2:9" x14ac:dyDescent="0.25">
      <c r="B115" s="52"/>
      <c r="C115" s="53"/>
      <c r="D115" s="80">
        <v>323</v>
      </c>
      <c r="E115" s="42" t="s">
        <v>101</v>
      </c>
      <c r="F115" s="71"/>
      <c r="G115" s="71"/>
      <c r="H115" s="71">
        <f>+H116+H117+H118+H119+H120+H121+H122+H123+H124</f>
        <v>27548.73</v>
      </c>
      <c r="I115" s="71"/>
    </row>
    <row r="116" spans="2:9" x14ac:dyDescent="0.25">
      <c r="B116" s="52"/>
      <c r="C116" s="53"/>
      <c r="D116" s="81">
        <v>3231</v>
      </c>
      <c r="E116" s="42" t="s">
        <v>102</v>
      </c>
      <c r="F116" s="71"/>
      <c r="G116" s="71"/>
      <c r="H116" s="71">
        <v>664.85</v>
      </c>
      <c r="I116" s="71"/>
    </row>
    <row r="117" spans="2:9" x14ac:dyDescent="0.25">
      <c r="B117" s="52"/>
      <c r="C117" s="53"/>
      <c r="D117" s="81">
        <v>3232</v>
      </c>
      <c r="E117" s="42" t="s">
        <v>103</v>
      </c>
      <c r="F117" s="71"/>
      <c r="G117" s="71"/>
      <c r="H117" s="71">
        <v>723.17</v>
      </c>
      <c r="I117" s="71"/>
    </row>
    <row r="118" spans="2:9" x14ac:dyDescent="0.25">
      <c r="B118" s="52"/>
      <c r="C118" s="53"/>
      <c r="D118" s="81">
        <v>3233</v>
      </c>
      <c r="E118" s="42" t="s">
        <v>104</v>
      </c>
      <c r="F118" s="71"/>
      <c r="G118" s="71"/>
      <c r="H118" s="71">
        <v>65.61</v>
      </c>
      <c r="I118" s="71"/>
    </row>
    <row r="119" spans="2:9" x14ac:dyDescent="0.25">
      <c r="B119" s="52"/>
      <c r="C119" s="53"/>
      <c r="D119" s="81">
        <v>3234</v>
      </c>
      <c r="E119" s="42" t="s">
        <v>138</v>
      </c>
      <c r="F119" s="71"/>
      <c r="G119" s="71"/>
      <c r="H119" s="71">
        <v>7293.25</v>
      </c>
      <c r="I119" s="71"/>
    </row>
    <row r="120" spans="2:9" x14ac:dyDescent="0.25">
      <c r="B120" s="52"/>
      <c r="C120" s="53"/>
      <c r="D120" s="81">
        <v>3235</v>
      </c>
      <c r="E120" s="42" t="s">
        <v>105</v>
      </c>
      <c r="F120" s="71"/>
      <c r="G120" s="71"/>
      <c r="H120" s="71">
        <v>0</v>
      </c>
      <c r="I120" s="71"/>
    </row>
    <row r="121" spans="2:9" x14ac:dyDescent="0.25">
      <c r="B121" s="52"/>
      <c r="C121" s="53"/>
      <c r="D121" s="81">
        <v>3236</v>
      </c>
      <c r="E121" s="42" t="s">
        <v>139</v>
      </c>
      <c r="F121" s="71"/>
      <c r="G121" s="71"/>
      <c r="H121" s="71">
        <v>0</v>
      </c>
      <c r="I121" s="71"/>
    </row>
    <row r="122" spans="2:9" x14ac:dyDescent="0.25">
      <c r="B122" s="52"/>
      <c r="C122" s="53"/>
      <c r="D122" s="81">
        <v>3237</v>
      </c>
      <c r="E122" s="42" t="s">
        <v>106</v>
      </c>
      <c r="F122" s="71"/>
      <c r="G122" s="71"/>
      <c r="H122" s="71">
        <v>5122.09</v>
      </c>
      <c r="I122" s="71"/>
    </row>
    <row r="123" spans="2:9" x14ac:dyDescent="0.25">
      <c r="B123" s="52"/>
      <c r="C123" s="53"/>
      <c r="D123" s="81">
        <v>3238</v>
      </c>
      <c r="E123" s="42" t="s">
        <v>107</v>
      </c>
      <c r="F123" s="71"/>
      <c r="G123" s="71"/>
      <c r="H123" s="71">
        <v>57.64</v>
      </c>
      <c r="I123" s="71"/>
    </row>
    <row r="124" spans="2:9" x14ac:dyDescent="0.25">
      <c r="B124" s="52"/>
      <c r="C124" s="53"/>
      <c r="D124" s="81">
        <v>3239</v>
      </c>
      <c r="E124" s="42" t="s">
        <v>140</v>
      </c>
      <c r="F124" s="71"/>
      <c r="G124" s="71"/>
      <c r="H124" s="71">
        <v>13622.12</v>
      </c>
      <c r="I124" s="71"/>
    </row>
    <row r="125" spans="2:9" ht="25.5" x14ac:dyDescent="0.25">
      <c r="B125" s="52"/>
      <c r="C125" s="53"/>
      <c r="D125" s="80">
        <v>324</v>
      </c>
      <c r="E125" s="42" t="s">
        <v>152</v>
      </c>
      <c r="F125" s="71"/>
      <c r="G125" s="71"/>
      <c r="H125" s="71">
        <f>+H126</f>
        <v>0</v>
      </c>
      <c r="I125" s="71"/>
    </row>
    <row r="126" spans="2:9" ht="25.5" x14ac:dyDescent="0.25">
      <c r="B126" s="52"/>
      <c r="C126" s="53"/>
      <c r="D126" s="81">
        <v>3241</v>
      </c>
      <c r="E126" s="42" t="s">
        <v>153</v>
      </c>
      <c r="F126" s="71"/>
      <c r="G126" s="71"/>
      <c r="H126" s="71">
        <v>0</v>
      </c>
      <c r="I126" s="71"/>
    </row>
    <row r="127" spans="2:9" x14ac:dyDescent="0.25">
      <c r="B127" s="52"/>
      <c r="C127" s="53"/>
      <c r="D127" s="80">
        <v>329</v>
      </c>
      <c r="E127" s="42" t="s">
        <v>109</v>
      </c>
      <c r="F127" s="71"/>
      <c r="G127" s="71"/>
      <c r="H127" s="71">
        <f>+H128+H129+H130+H131+H132+H133+H134</f>
        <v>43022.48</v>
      </c>
      <c r="I127" s="71"/>
    </row>
    <row r="128" spans="2:9" x14ac:dyDescent="0.25">
      <c r="B128" s="52"/>
      <c r="C128" s="53"/>
      <c r="D128" s="81">
        <v>3291</v>
      </c>
      <c r="E128" s="42" t="s">
        <v>141</v>
      </c>
      <c r="F128" s="71"/>
      <c r="G128" s="71"/>
      <c r="H128" s="71">
        <v>0</v>
      </c>
      <c r="I128" s="71"/>
    </row>
    <row r="129" spans="2:9" x14ac:dyDescent="0.25">
      <c r="B129" s="52"/>
      <c r="C129" s="53"/>
      <c r="D129" s="81">
        <v>3292</v>
      </c>
      <c r="E129" s="42" t="s">
        <v>110</v>
      </c>
      <c r="F129" s="71"/>
      <c r="G129" s="71"/>
      <c r="H129" s="71">
        <v>535.99</v>
      </c>
      <c r="I129" s="71"/>
    </row>
    <row r="130" spans="2:9" x14ac:dyDescent="0.25">
      <c r="B130" s="52"/>
      <c r="C130" s="53"/>
      <c r="D130" s="81">
        <v>3293</v>
      </c>
      <c r="E130" s="42" t="s">
        <v>111</v>
      </c>
      <c r="F130" s="71"/>
      <c r="G130" s="71"/>
      <c r="H130" s="71">
        <v>25338.51</v>
      </c>
      <c r="I130" s="71"/>
    </row>
    <row r="131" spans="2:9" x14ac:dyDescent="0.25">
      <c r="B131" s="52"/>
      <c r="C131" s="53"/>
      <c r="D131" s="81">
        <v>3294</v>
      </c>
      <c r="E131" s="42" t="s">
        <v>112</v>
      </c>
      <c r="F131" s="71"/>
      <c r="G131" s="71"/>
      <c r="H131" s="71">
        <v>551.99</v>
      </c>
      <c r="I131" s="71"/>
    </row>
    <row r="132" spans="2:9" x14ac:dyDescent="0.25">
      <c r="B132" s="52"/>
      <c r="C132" s="53"/>
      <c r="D132" s="81">
        <v>3295</v>
      </c>
      <c r="E132" s="42" t="s">
        <v>142</v>
      </c>
      <c r="F132" s="71"/>
      <c r="G132" s="71"/>
      <c r="H132" s="71">
        <v>14.86</v>
      </c>
      <c r="I132" s="71"/>
    </row>
    <row r="133" spans="2:9" x14ac:dyDescent="0.25">
      <c r="B133" s="52"/>
      <c r="C133" s="53"/>
      <c r="D133" s="81">
        <v>3296</v>
      </c>
      <c r="E133" s="42" t="s">
        <v>143</v>
      </c>
      <c r="F133" s="71"/>
      <c r="G133" s="71"/>
      <c r="H133" s="71">
        <v>3483.97</v>
      </c>
      <c r="I133" s="71"/>
    </row>
    <row r="134" spans="2:9" x14ac:dyDescent="0.25">
      <c r="B134" s="52"/>
      <c r="C134" s="53"/>
      <c r="D134" s="81">
        <v>3299</v>
      </c>
      <c r="E134" s="42" t="s">
        <v>109</v>
      </c>
      <c r="F134" s="71"/>
      <c r="G134" s="71"/>
      <c r="H134" s="71">
        <v>13097.16</v>
      </c>
      <c r="I134" s="71"/>
    </row>
    <row r="135" spans="2:9" x14ac:dyDescent="0.25">
      <c r="B135" s="52"/>
      <c r="C135" s="53"/>
      <c r="D135" s="54">
        <v>34</v>
      </c>
      <c r="E135" s="42" t="s">
        <v>144</v>
      </c>
      <c r="F135" s="71">
        <v>1350</v>
      </c>
      <c r="G135" s="71">
        <v>1350</v>
      </c>
      <c r="H135" s="71">
        <f>+H136</f>
        <v>573.66999999999996</v>
      </c>
      <c r="I135" s="69">
        <f t="shared" ref="I135" si="10">+H135/G135*100</f>
        <v>42.494074074074071</v>
      </c>
    </row>
    <row r="136" spans="2:9" x14ac:dyDescent="0.25">
      <c r="B136" s="52"/>
      <c r="C136" s="53"/>
      <c r="D136" s="80">
        <v>343</v>
      </c>
      <c r="E136" s="42" t="s">
        <v>145</v>
      </c>
      <c r="F136" s="71"/>
      <c r="G136" s="71"/>
      <c r="H136" s="71">
        <f>+H137+H138+H139+H140</f>
        <v>573.66999999999996</v>
      </c>
      <c r="I136" s="71"/>
    </row>
    <row r="137" spans="2:9" x14ac:dyDescent="0.25">
      <c r="B137" s="52"/>
      <c r="C137" s="53"/>
      <c r="D137" s="81">
        <v>3431</v>
      </c>
      <c r="E137" s="42" t="s">
        <v>146</v>
      </c>
      <c r="F137" s="71"/>
      <c r="G137" s="71"/>
      <c r="H137" s="71">
        <v>517.78</v>
      </c>
      <c r="I137" s="71"/>
    </row>
    <row r="138" spans="2:9" x14ac:dyDescent="0.25">
      <c r="B138" s="52"/>
      <c r="C138" s="53"/>
      <c r="D138" s="81">
        <v>3432</v>
      </c>
      <c r="E138" s="42" t="s">
        <v>154</v>
      </c>
      <c r="F138" s="71"/>
      <c r="G138" s="71"/>
      <c r="H138" s="71">
        <v>49.53</v>
      </c>
      <c r="I138" s="71"/>
    </row>
    <row r="139" spans="2:9" x14ac:dyDescent="0.25">
      <c r="B139" s="52"/>
      <c r="C139" s="53"/>
      <c r="D139" s="81">
        <v>3433</v>
      </c>
      <c r="E139" s="42" t="s">
        <v>147</v>
      </c>
      <c r="F139" s="71"/>
      <c r="G139" s="71"/>
      <c r="H139" s="71">
        <v>6.36</v>
      </c>
      <c r="I139" s="71"/>
    </row>
    <row r="140" spans="2:9" x14ac:dyDescent="0.25">
      <c r="B140" s="52"/>
      <c r="C140" s="53"/>
      <c r="D140" s="81">
        <v>3434</v>
      </c>
      <c r="E140" s="42" t="s">
        <v>155</v>
      </c>
      <c r="F140" s="71"/>
      <c r="G140" s="71"/>
      <c r="H140" s="71">
        <v>0</v>
      </c>
      <c r="I140" s="71"/>
    </row>
    <row r="141" spans="2:9" ht="25.5" x14ac:dyDescent="0.25">
      <c r="B141" s="52"/>
      <c r="C141" s="53"/>
      <c r="D141" s="54">
        <v>37</v>
      </c>
      <c r="E141" s="42" t="s">
        <v>156</v>
      </c>
      <c r="F141" s="71">
        <v>1300</v>
      </c>
      <c r="G141" s="71">
        <v>1300</v>
      </c>
      <c r="H141" s="71">
        <f>+H142</f>
        <v>2805</v>
      </c>
      <c r="I141" s="69">
        <f t="shared" ref="I141" si="11">+H141/G141*100</f>
        <v>215.76923076923075</v>
      </c>
    </row>
    <row r="142" spans="2:9" ht="25.5" x14ac:dyDescent="0.25">
      <c r="B142" s="52"/>
      <c r="C142" s="53"/>
      <c r="D142" s="80">
        <v>372</v>
      </c>
      <c r="E142" s="42" t="s">
        <v>157</v>
      </c>
      <c r="F142" s="71"/>
      <c r="G142" s="71"/>
      <c r="H142" s="71">
        <f>+H143</f>
        <v>2805</v>
      </c>
      <c r="I142" s="71"/>
    </row>
    <row r="143" spans="2:9" ht="25.5" x14ac:dyDescent="0.25">
      <c r="B143" s="52"/>
      <c r="C143" s="53"/>
      <c r="D143" s="81">
        <v>3721</v>
      </c>
      <c r="E143" s="42" t="s">
        <v>158</v>
      </c>
      <c r="F143" s="71"/>
      <c r="G143" s="71"/>
      <c r="H143" s="71">
        <v>2805</v>
      </c>
      <c r="I143" s="71"/>
    </row>
    <row r="144" spans="2:9" x14ac:dyDescent="0.25">
      <c r="B144" s="52"/>
      <c r="C144" s="53">
        <v>4</v>
      </c>
      <c r="D144" s="54"/>
      <c r="E144" s="42" t="s">
        <v>6</v>
      </c>
      <c r="F144" s="71">
        <f>+F145+F150+F163+F166</f>
        <v>209870</v>
      </c>
      <c r="G144" s="71">
        <f>+G145+G150+G163+G166</f>
        <v>209870</v>
      </c>
      <c r="H144" s="71">
        <f>+H145+H150+H163+H166</f>
        <v>184213.67</v>
      </c>
      <c r="I144" s="69">
        <f t="shared" ref="I144:I145" si="12">+H144/G144*100</f>
        <v>87.775132224710546</v>
      </c>
    </row>
    <row r="145" spans="2:9" ht="25.5" x14ac:dyDescent="0.25">
      <c r="B145" s="52"/>
      <c r="C145" s="53"/>
      <c r="D145" s="54">
        <v>41</v>
      </c>
      <c r="E145" s="42" t="s">
        <v>7</v>
      </c>
      <c r="F145" s="71">
        <v>14500</v>
      </c>
      <c r="G145" s="71">
        <v>14500</v>
      </c>
      <c r="H145" s="71">
        <f>+H146+H148</f>
        <v>13531.14</v>
      </c>
      <c r="I145" s="69">
        <f t="shared" si="12"/>
        <v>93.318206896551729</v>
      </c>
    </row>
    <row r="146" spans="2:9" x14ac:dyDescent="0.25">
      <c r="B146" s="52"/>
      <c r="C146" s="53"/>
      <c r="D146" s="80">
        <v>411</v>
      </c>
      <c r="E146" s="42" t="s">
        <v>43</v>
      </c>
      <c r="F146" s="71"/>
      <c r="G146" s="71"/>
      <c r="H146" s="71">
        <f>+H147</f>
        <v>12300.39</v>
      </c>
      <c r="I146" s="71"/>
    </row>
    <row r="147" spans="2:9" x14ac:dyDescent="0.25">
      <c r="B147" s="52"/>
      <c r="C147" s="53"/>
      <c r="D147" s="81">
        <v>4111</v>
      </c>
      <c r="E147" s="42" t="s">
        <v>44</v>
      </c>
      <c r="F147" s="71"/>
      <c r="G147" s="71"/>
      <c r="H147" s="71">
        <v>12300.39</v>
      </c>
      <c r="I147" s="71"/>
    </row>
    <row r="148" spans="2:9" x14ac:dyDescent="0.25">
      <c r="B148" s="52"/>
      <c r="C148" s="53"/>
      <c r="D148" s="80">
        <v>412</v>
      </c>
      <c r="E148" s="42" t="s">
        <v>113</v>
      </c>
      <c r="F148" s="71"/>
      <c r="G148" s="71"/>
      <c r="H148" s="71">
        <f>+H149</f>
        <v>1230.75</v>
      </c>
      <c r="I148" s="71"/>
    </row>
    <row r="149" spans="2:9" x14ac:dyDescent="0.25">
      <c r="B149" s="52"/>
      <c r="C149" s="53"/>
      <c r="D149" s="81">
        <v>4123</v>
      </c>
      <c r="E149" s="42" t="s">
        <v>114</v>
      </c>
      <c r="F149" s="71"/>
      <c r="G149" s="71"/>
      <c r="H149" s="71">
        <v>1230.75</v>
      </c>
      <c r="I149" s="71"/>
    </row>
    <row r="150" spans="2:9" ht="25.5" x14ac:dyDescent="0.25">
      <c r="B150" s="52"/>
      <c r="C150" s="53"/>
      <c r="D150" s="54">
        <v>42</v>
      </c>
      <c r="E150" s="42" t="s">
        <v>115</v>
      </c>
      <c r="F150" s="71">
        <v>157870</v>
      </c>
      <c r="G150" s="71">
        <v>157870</v>
      </c>
      <c r="H150" s="71">
        <f>+H151+H157+H159+H161</f>
        <v>108558.73000000001</v>
      </c>
      <c r="I150" s="69">
        <f t="shared" ref="I150" si="13">+H150/G150*100</f>
        <v>68.764635459555336</v>
      </c>
    </row>
    <row r="151" spans="2:9" x14ac:dyDescent="0.25">
      <c r="B151" s="52"/>
      <c r="C151" s="53"/>
      <c r="D151" s="80">
        <v>422</v>
      </c>
      <c r="E151" s="42" t="s">
        <v>116</v>
      </c>
      <c r="F151" s="71"/>
      <c r="G151" s="71"/>
      <c r="H151" s="71">
        <f>+H152+H153+H154+H155+H156</f>
        <v>67589.279999999999</v>
      </c>
      <c r="I151" s="71"/>
    </row>
    <row r="152" spans="2:9" x14ac:dyDescent="0.25">
      <c r="B152" s="52"/>
      <c r="C152" s="53"/>
      <c r="D152" s="81">
        <v>4221</v>
      </c>
      <c r="E152" s="42" t="s">
        <v>117</v>
      </c>
      <c r="F152" s="71"/>
      <c r="G152" s="71"/>
      <c r="H152" s="71">
        <v>46890.41</v>
      </c>
      <c r="I152" s="71"/>
    </row>
    <row r="153" spans="2:9" x14ac:dyDescent="0.25">
      <c r="B153" s="52"/>
      <c r="C153" s="53"/>
      <c r="D153" s="81">
        <v>4222</v>
      </c>
      <c r="E153" s="42" t="s">
        <v>159</v>
      </c>
      <c r="F153" s="71"/>
      <c r="G153" s="71"/>
      <c r="H153" s="71">
        <v>3036</v>
      </c>
      <c r="I153" s="71"/>
    </row>
    <row r="154" spans="2:9" x14ac:dyDescent="0.25">
      <c r="B154" s="52"/>
      <c r="C154" s="53"/>
      <c r="D154" s="81">
        <v>4223</v>
      </c>
      <c r="E154" s="42" t="s">
        <v>118</v>
      </c>
      <c r="F154" s="71"/>
      <c r="G154" s="71"/>
      <c r="H154" s="71">
        <v>12980.22</v>
      </c>
      <c r="I154" s="71"/>
    </row>
    <row r="155" spans="2:9" x14ac:dyDescent="0.25">
      <c r="B155" s="52"/>
      <c r="C155" s="53"/>
      <c r="D155" s="81">
        <v>4225</v>
      </c>
      <c r="E155" s="42" t="s">
        <v>119</v>
      </c>
      <c r="F155" s="71"/>
      <c r="G155" s="71"/>
      <c r="H155" s="71">
        <v>876.35</v>
      </c>
      <c r="I155" s="71"/>
    </row>
    <row r="156" spans="2:9" x14ac:dyDescent="0.25">
      <c r="B156" s="52"/>
      <c r="C156" s="53"/>
      <c r="D156" s="81">
        <v>4227</v>
      </c>
      <c r="E156" s="42" t="s">
        <v>120</v>
      </c>
      <c r="F156" s="71"/>
      <c r="G156" s="71"/>
      <c r="H156" s="71">
        <v>3806.3</v>
      </c>
      <c r="I156" s="71"/>
    </row>
    <row r="157" spans="2:9" x14ac:dyDescent="0.25">
      <c r="B157" s="87"/>
      <c r="C157" s="88"/>
      <c r="D157" s="80">
        <v>423</v>
      </c>
      <c r="E157" s="42" t="s">
        <v>217</v>
      </c>
      <c r="F157" s="71"/>
      <c r="G157" s="71"/>
      <c r="H157" s="71">
        <f>+H158</f>
        <v>30351.49</v>
      </c>
      <c r="I157" s="71"/>
    </row>
    <row r="158" spans="2:9" x14ac:dyDescent="0.25">
      <c r="B158" s="52"/>
      <c r="C158" s="53"/>
      <c r="D158" s="81">
        <v>4231</v>
      </c>
      <c r="E158" s="42" t="s">
        <v>218</v>
      </c>
      <c r="F158" s="71"/>
      <c r="G158" s="71"/>
      <c r="H158" s="71">
        <v>30351.49</v>
      </c>
      <c r="I158" s="71"/>
    </row>
    <row r="159" spans="2:9" ht="25.5" x14ac:dyDescent="0.25">
      <c r="B159" s="52"/>
      <c r="C159" s="53"/>
      <c r="D159" s="80">
        <v>424</v>
      </c>
      <c r="E159" s="42" t="s">
        <v>121</v>
      </c>
      <c r="F159" s="71"/>
      <c r="G159" s="71"/>
      <c r="H159" s="71">
        <f>+H160</f>
        <v>249.11</v>
      </c>
      <c r="I159" s="71"/>
    </row>
    <row r="160" spans="2:9" x14ac:dyDescent="0.25">
      <c r="B160" s="52"/>
      <c r="C160" s="53"/>
      <c r="D160" s="81">
        <v>4241</v>
      </c>
      <c r="E160" s="42" t="s">
        <v>122</v>
      </c>
      <c r="F160" s="71"/>
      <c r="G160" s="71"/>
      <c r="H160" s="71">
        <v>249.11</v>
      </c>
      <c r="I160" s="71"/>
    </row>
    <row r="161" spans="2:9" x14ac:dyDescent="0.25">
      <c r="B161" s="52"/>
      <c r="C161" s="53"/>
      <c r="D161" s="80">
        <v>426</v>
      </c>
      <c r="E161" s="42" t="s">
        <v>160</v>
      </c>
      <c r="F161" s="71"/>
      <c r="G161" s="71"/>
      <c r="H161" s="71">
        <f>+H162</f>
        <v>10368.85</v>
      </c>
      <c r="I161" s="71"/>
    </row>
    <row r="162" spans="2:9" x14ac:dyDescent="0.25">
      <c r="B162" s="52"/>
      <c r="C162" s="53"/>
      <c r="D162" s="81">
        <v>4262</v>
      </c>
      <c r="E162" s="42" t="s">
        <v>161</v>
      </c>
      <c r="F162" s="71"/>
      <c r="G162" s="71"/>
      <c r="H162" s="71">
        <v>10368.85</v>
      </c>
      <c r="I162" s="71"/>
    </row>
    <row r="163" spans="2:9" ht="25.5" x14ac:dyDescent="0.25">
      <c r="B163" s="52"/>
      <c r="C163" s="53"/>
      <c r="D163" s="54">
        <v>43</v>
      </c>
      <c r="E163" s="42" t="s">
        <v>123</v>
      </c>
      <c r="F163" s="71">
        <v>500</v>
      </c>
      <c r="G163" s="71">
        <v>500</v>
      </c>
      <c r="H163" s="71">
        <f>+H164</f>
        <v>358.37</v>
      </c>
      <c r="I163" s="69">
        <f t="shared" ref="I163" si="14">+H163/G163*100</f>
        <v>71.674000000000007</v>
      </c>
    </row>
    <row r="164" spans="2:9" ht="25.5" x14ac:dyDescent="0.25">
      <c r="B164" s="52"/>
      <c r="C164" s="53"/>
      <c r="D164" s="80">
        <v>431</v>
      </c>
      <c r="E164" s="42" t="s">
        <v>124</v>
      </c>
      <c r="F164" s="71"/>
      <c r="G164" s="71"/>
      <c r="H164" s="71">
        <f>+H165</f>
        <v>358.37</v>
      </c>
      <c r="I164" s="71"/>
    </row>
    <row r="165" spans="2:9" x14ac:dyDescent="0.25">
      <c r="B165" s="52"/>
      <c r="C165" s="53"/>
      <c r="D165" s="81">
        <v>4312</v>
      </c>
      <c r="E165" s="42" t="s">
        <v>125</v>
      </c>
      <c r="F165" s="71"/>
      <c r="G165" s="71"/>
      <c r="H165" s="71">
        <v>358.37</v>
      </c>
      <c r="I165" s="71"/>
    </row>
    <row r="166" spans="2:9" ht="25.5" x14ac:dyDescent="0.25">
      <c r="B166" s="52"/>
      <c r="C166" s="53"/>
      <c r="D166" s="54">
        <v>45</v>
      </c>
      <c r="E166" s="42" t="s">
        <v>126</v>
      </c>
      <c r="F166" s="71">
        <v>37000</v>
      </c>
      <c r="G166" s="71">
        <v>37000</v>
      </c>
      <c r="H166" s="71">
        <f>+H167+H169</f>
        <v>61765.43</v>
      </c>
      <c r="I166" s="69">
        <f t="shared" ref="I166" si="15">+H166/G166*100</f>
        <v>166.93359459459461</v>
      </c>
    </row>
    <row r="167" spans="2:9" x14ac:dyDescent="0.25">
      <c r="B167" s="52"/>
      <c r="C167" s="53"/>
      <c r="D167" s="80">
        <v>451</v>
      </c>
      <c r="E167" s="42" t="s">
        <v>127</v>
      </c>
      <c r="F167" s="71"/>
      <c r="G167" s="71"/>
      <c r="H167" s="71">
        <f>+H168</f>
        <v>61765.43</v>
      </c>
      <c r="I167" s="71"/>
    </row>
    <row r="168" spans="2:9" x14ac:dyDescent="0.25">
      <c r="B168" s="52"/>
      <c r="C168" s="53"/>
      <c r="D168" s="81">
        <v>4511</v>
      </c>
      <c r="E168" s="42" t="s">
        <v>127</v>
      </c>
      <c r="F168" s="71"/>
      <c r="G168" s="71"/>
      <c r="H168" s="71">
        <v>61765.43</v>
      </c>
      <c r="I168" s="71"/>
    </row>
    <row r="169" spans="2:9" x14ac:dyDescent="0.25">
      <c r="B169" s="52"/>
      <c r="C169" s="53"/>
      <c r="D169" s="80">
        <v>452</v>
      </c>
      <c r="E169" s="42" t="s">
        <v>162</v>
      </c>
      <c r="F169" s="71"/>
      <c r="G169" s="71"/>
      <c r="H169" s="71">
        <f>+H170</f>
        <v>0</v>
      </c>
      <c r="I169" s="71"/>
    </row>
    <row r="170" spans="2:9" x14ac:dyDescent="0.25">
      <c r="B170" s="52"/>
      <c r="C170" s="53"/>
      <c r="D170" s="81">
        <v>4521</v>
      </c>
      <c r="E170" s="42" t="s">
        <v>162</v>
      </c>
      <c r="F170" s="71"/>
      <c r="G170" s="71"/>
      <c r="H170" s="71">
        <v>0</v>
      </c>
      <c r="I170" s="71"/>
    </row>
    <row r="171" spans="2:9" x14ac:dyDescent="0.25">
      <c r="B171" s="76">
        <v>43</v>
      </c>
      <c r="C171" s="90"/>
      <c r="D171" s="91"/>
      <c r="E171" s="75" t="s">
        <v>163</v>
      </c>
      <c r="F171" s="107">
        <f>+F172</f>
        <v>60444.22</v>
      </c>
      <c r="G171" s="107">
        <f>+G172</f>
        <v>60444.22</v>
      </c>
      <c r="H171" s="107">
        <f>+H172</f>
        <v>39424.21</v>
      </c>
      <c r="I171" s="74">
        <f t="shared" ref="I171:I174" si="16">+H171/G171*100</f>
        <v>65.224119030736105</v>
      </c>
    </row>
    <row r="172" spans="2:9" x14ac:dyDescent="0.25">
      <c r="B172" s="76" t="s">
        <v>149</v>
      </c>
      <c r="C172" s="77"/>
      <c r="D172" s="78"/>
      <c r="E172" s="79" t="s">
        <v>129</v>
      </c>
      <c r="F172" s="71">
        <f>+F173+F193</f>
        <v>60444.22</v>
      </c>
      <c r="G172" s="71">
        <f>+G173+G193</f>
        <v>60444.22</v>
      </c>
      <c r="H172" s="71">
        <f>+H173+H193</f>
        <v>39424.21</v>
      </c>
      <c r="I172" s="69">
        <f t="shared" si="16"/>
        <v>65.224119030736105</v>
      </c>
    </row>
    <row r="173" spans="2:9" x14ac:dyDescent="0.25">
      <c r="B173" s="76"/>
      <c r="C173" s="77">
        <v>3</v>
      </c>
      <c r="D173" s="78"/>
      <c r="E173" s="79" t="s">
        <v>4</v>
      </c>
      <c r="F173" s="71">
        <f>+F174+F177</f>
        <v>36519.22</v>
      </c>
      <c r="G173" s="71">
        <f>+G174+G177</f>
        <v>36519.22</v>
      </c>
      <c r="H173" s="71">
        <f>+H174+H177</f>
        <v>26376.79</v>
      </c>
      <c r="I173" s="69">
        <f t="shared" si="16"/>
        <v>72.227145048552515</v>
      </c>
    </row>
    <row r="174" spans="2:9" x14ac:dyDescent="0.25">
      <c r="B174" s="52"/>
      <c r="C174" s="53"/>
      <c r="D174" s="54">
        <v>31</v>
      </c>
      <c r="E174" s="42" t="s">
        <v>5</v>
      </c>
      <c r="F174" s="71">
        <v>11945.05</v>
      </c>
      <c r="G174" s="71">
        <v>11945.05</v>
      </c>
      <c r="H174" s="71">
        <f>+H175</f>
        <v>8432.81</v>
      </c>
      <c r="I174" s="69">
        <f t="shared" si="16"/>
        <v>70.596690679402769</v>
      </c>
    </row>
    <row r="175" spans="2:9" x14ac:dyDescent="0.25">
      <c r="B175" s="52"/>
      <c r="C175" s="53"/>
      <c r="D175" s="80">
        <v>312</v>
      </c>
      <c r="E175" s="42" t="s">
        <v>133</v>
      </c>
      <c r="F175" s="71"/>
      <c r="G175" s="71"/>
      <c r="H175" s="71">
        <f>+H176</f>
        <v>8432.81</v>
      </c>
      <c r="I175" s="71"/>
    </row>
    <row r="176" spans="2:9" x14ac:dyDescent="0.25">
      <c r="B176" s="52"/>
      <c r="C176" s="53"/>
      <c r="D176" s="81">
        <v>3121</v>
      </c>
      <c r="E176" s="42" t="s">
        <v>133</v>
      </c>
      <c r="F176" s="71"/>
      <c r="G176" s="71"/>
      <c r="H176" s="71">
        <f>7009.75+1423.06</f>
        <v>8432.81</v>
      </c>
      <c r="I176" s="71"/>
    </row>
    <row r="177" spans="2:9" x14ac:dyDescent="0.25">
      <c r="B177" s="52"/>
      <c r="C177" s="53"/>
      <c r="D177" s="54">
        <v>32</v>
      </c>
      <c r="E177" s="42" t="s">
        <v>13</v>
      </c>
      <c r="F177" s="71">
        <v>24574.17</v>
      </c>
      <c r="G177" s="71">
        <v>24574.17</v>
      </c>
      <c r="H177" s="71">
        <f>+H178+H180+H184+H189+H191</f>
        <v>17943.980000000003</v>
      </c>
      <c r="I177" s="69">
        <f t="shared" ref="I177" si="17">+H177/G177*100</f>
        <v>73.019678792813764</v>
      </c>
    </row>
    <row r="178" spans="2:9" x14ac:dyDescent="0.25">
      <c r="B178" s="52"/>
      <c r="C178" s="53"/>
      <c r="D178" s="80">
        <v>321</v>
      </c>
      <c r="E178" s="42" t="s">
        <v>41</v>
      </c>
      <c r="F178" s="71"/>
      <c r="G178" s="71"/>
      <c r="H178" s="71">
        <f>+H179</f>
        <v>1648.74</v>
      </c>
      <c r="I178" s="71"/>
    </row>
    <row r="179" spans="2:9" x14ac:dyDescent="0.25">
      <c r="B179" s="52"/>
      <c r="C179" s="53"/>
      <c r="D179" s="81">
        <v>3211</v>
      </c>
      <c r="E179" s="42" t="s">
        <v>42</v>
      </c>
      <c r="F179" s="71"/>
      <c r="G179" s="71"/>
      <c r="H179" s="71">
        <v>1648.74</v>
      </c>
      <c r="I179" s="71"/>
    </row>
    <row r="180" spans="2:9" x14ac:dyDescent="0.25">
      <c r="B180" s="52"/>
      <c r="C180" s="53"/>
      <c r="D180" s="80">
        <v>322</v>
      </c>
      <c r="E180" s="42" t="s">
        <v>96</v>
      </c>
      <c r="F180" s="71"/>
      <c r="G180" s="71"/>
      <c r="H180" s="71">
        <f>+H181+H182+H183</f>
        <v>3600.92</v>
      </c>
      <c r="I180" s="71"/>
    </row>
    <row r="181" spans="2:9" x14ac:dyDescent="0.25">
      <c r="B181" s="52"/>
      <c r="C181" s="53"/>
      <c r="D181" s="81">
        <v>3221</v>
      </c>
      <c r="E181" s="42" t="s">
        <v>97</v>
      </c>
      <c r="F181" s="71"/>
      <c r="G181" s="71"/>
      <c r="H181" s="71">
        <v>1578.72</v>
      </c>
      <c r="I181" s="71"/>
    </row>
    <row r="182" spans="2:9" x14ac:dyDescent="0.25">
      <c r="B182" s="52"/>
      <c r="C182" s="53"/>
      <c r="D182" s="81">
        <v>3223</v>
      </c>
      <c r="E182" s="42" t="s">
        <v>137</v>
      </c>
      <c r="F182" s="71"/>
      <c r="G182" s="71"/>
      <c r="H182" s="71"/>
      <c r="I182" s="71"/>
    </row>
    <row r="183" spans="2:9" x14ac:dyDescent="0.25">
      <c r="B183" s="52"/>
      <c r="C183" s="53"/>
      <c r="D183" s="81">
        <v>3225</v>
      </c>
      <c r="E183" s="42" t="s">
        <v>99</v>
      </c>
      <c r="F183" s="71"/>
      <c r="G183" s="71"/>
      <c r="H183" s="71">
        <v>2022.2</v>
      </c>
      <c r="I183" s="71"/>
    </row>
    <row r="184" spans="2:9" x14ac:dyDescent="0.25">
      <c r="B184" s="52"/>
      <c r="C184" s="53"/>
      <c r="D184" s="80">
        <v>323</v>
      </c>
      <c r="E184" s="42" t="s">
        <v>101</v>
      </c>
      <c r="F184" s="71"/>
      <c r="G184" s="71"/>
      <c r="H184" s="71">
        <f>+H185+H186+H187+H188</f>
        <v>10494.310000000001</v>
      </c>
      <c r="I184" s="71"/>
    </row>
    <row r="185" spans="2:9" x14ac:dyDescent="0.25">
      <c r="B185" s="52"/>
      <c r="C185" s="53"/>
      <c r="D185" s="81">
        <v>3231</v>
      </c>
      <c r="E185" s="42" t="s">
        <v>102</v>
      </c>
      <c r="F185" s="71"/>
      <c r="G185" s="71"/>
      <c r="H185" s="71"/>
      <c r="I185" s="71"/>
    </row>
    <row r="186" spans="2:9" x14ac:dyDescent="0.25">
      <c r="B186" s="52"/>
      <c r="C186" s="53"/>
      <c r="D186" s="81">
        <v>3232</v>
      </c>
      <c r="E186" s="42" t="s">
        <v>103</v>
      </c>
      <c r="F186" s="71"/>
      <c r="G186" s="71"/>
      <c r="H186" s="71">
        <f>427.03+794.4</f>
        <v>1221.4299999999998</v>
      </c>
      <c r="I186" s="71"/>
    </row>
    <row r="187" spans="2:9" x14ac:dyDescent="0.25">
      <c r="B187" s="52"/>
      <c r="C187" s="53"/>
      <c r="D187" s="81">
        <v>3234</v>
      </c>
      <c r="E187" s="42" t="s">
        <v>138</v>
      </c>
      <c r="F187" s="71"/>
      <c r="G187" s="71"/>
      <c r="H187" s="71">
        <v>70</v>
      </c>
      <c r="I187" s="71"/>
    </row>
    <row r="188" spans="2:9" x14ac:dyDescent="0.25">
      <c r="B188" s="52"/>
      <c r="C188" s="53"/>
      <c r="D188" s="81">
        <v>3237</v>
      </c>
      <c r="E188" s="42" t="s">
        <v>106</v>
      </c>
      <c r="F188" s="71"/>
      <c r="G188" s="71"/>
      <c r="H188" s="71">
        <f>6253.8+2949.08</f>
        <v>9202.880000000001</v>
      </c>
      <c r="I188" s="71"/>
    </row>
    <row r="189" spans="2:9" ht="25.5" x14ac:dyDescent="0.25">
      <c r="B189" s="52"/>
      <c r="C189" s="53"/>
      <c r="D189" s="80">
        <v>324</v>
      </c>
      <c r="E189" s="42" t="s">
        <v>152</v>
      </c>
      <c r="F189" s="71"/>
      <c r="G189" s="71"/>
      <c r="H189" s="71">
        <f>+H190</f>
        <v>2157.38</v>
      </c>
      <c r="I189" s="71"/>
    </row>
    <row r="190" spans="2:9" ht="25.5" x14ac:dyDescent="0.25">
      <c r="B190" s="52"/>
      <c r="C190" s="53"/>
      <c r="D190" s="81">
        <v>3241</v>
      </c>
      <c r="E190" s="42" t="s">
        <v>152</v>
      </c>
      <c r="F190" s="71"/>
      <c r="G190" s="71"/>
      <c r="H190" s="71">
        <v>2157.38</v>
      </c>
      <c r="I190" s="71"/>
    </row>
    <row r="191" spans="2:9" x14ac:dyDescent="0.25">
      <c r="B191" s="52"/>
      <c r="C191" s="53"/>
      <c r="D191" s="80">
        <v>329</v>
      </c>
      <c r="E191" s="42" t="s">
        <v>109</v>
      </c>
      <c r="F191" s="71"/>
      <c r="G191" s="71"/>
      <c r="H191" s="71">
        <f>+H192</f>
        <v>42.63</v>
      </c>
      <c r="I191" s="71"/>
    </row>
    <row r="192" spans="2:9" x14ac:dyDescent="0.25">
      <c r="B192" s="52"/>
      <c r="C192" s="53"/>
      <c r="D192" s="81">
        <v>3293</v>
      </c>
      <c r="E192" s="42" t="s">
        <v>111</v>
      </c>
      <c r="F192" s="71"/>
      <c r="G192" s="71"/>
      <c r="H192" s="71">
        <v>42.63</v>
      </c>
      <c r="I192" s="71"/>
    </row>
    <row r="193" spans="2:9" ht="25.5" x14ac:dyDescent="0.25">
      <c r="B193" s="76"/>
      <c r="C193" s="77">
        <v>4</v>
      </c>
      <c r="D193" s="78"/>
      <c r="E193" s="79" t="s">
        <v>6</v>
      </c>
      <c r="F193" s="71">
        <f>+F194</f>
        <v>23925</v>
      </c>
      <c r="G193" s="71">
        <f>+G194</f>
        <v>23925</v>
      </c>
      <c r="H193" s="71">
        <f>+H194</f>
        <v>13047.42</v>
      </c>
      <c r="I193" s="69">
        <f t="shared" ref="I193:I194" si="18">+H193/G193*100</f>
        <v>54.534670846394981</v>
      </c>
    </row>
    <row r="194" spans="2:9" ht="25.5" x14ac:dyDescent="0.25">
      <c r="B194" s="52"/>
      <c r="C194" s="53"/>
      <c r="D194" s="54">
        <v>42</v>
      </c>
      <c r="E194" s="42" t="s">
        <v>115</v>
      </c>
      <c r="F194" s="71">
        <f>19925+4000</f>
        <v>23925</v>
      </c>
      <c r="G194" s="71">
        <f>19925+4000</f>
        <v>23925</v>
      </c>
      <c r="H194" s="71">
        <f>+H195</f>
        <v>13047.42</v>
      </c>
      <c r="I194" s="69">
        <f t="shared" si="18"/>
        <v>54.534670846394981</v>
      </c>
    </row>
    <row r="195" spans="2:9" x14ac:dyDescent="0.25">
      <c r="B195" s="52"/>
      <c r="C195" s="53"/>
      <c r="D195" s="80">
        <v>422</v>
      </c>
      <c r="E195" s="42" t="s">
        <v>116</v>
      </c>
      <c r="F195" s="71"/>
      <c r="G195" s="71"/>
      <c r="H195" s="71">
        <f>+H196+H197</f>
        <v>13047.42</v>
      </c>
      <c r="I195" s="71"/>
    </row>
    <row r="196" spans="2:9" x14ac:dyDescent="0.25">
      <c r="B196" s="52"/>
      <c r="C196" s="53"/>
      <c r="D196" s="81">
        <v>4221</v>
      </c>
      <c r="E196" s="42" t="s">
        <v>117</v>
      </c>
      <c r="F196" s="71"/>
      <c r="G196" s="71"/>
      <c r="H196" s="71">
        <v>9185.94</v>
      </c>
      <c r="I196" s="71"/>
    </row>
    <row r="197" spans="2:9" x14ac:dyDescent="0.25">
      <c r="B197" s="52"/>
      <c r="C197" s="53"/>
      <c r="D197" s="81">
        <v>4223</v>
      </c>
      <c r="E197" s="42" t="s">
        <v>118</v>
      </c>
      <c r="F197" s="71"/>
      <c r="G197" s="71"/>
      <c r="H197" s="71">
        <v>3861.48</v>
      </c>
      <c r="I197" s="71"/>
    </row>
    <row r="198" spans="2:9" x14ac:dyDescent="0.25">
      <c r="B198" s="76">
        <v>51</v>
      </c>
      <c r="C198" s="77"/>
      <c r="D198" s="108"/>
      <c r="E198" s="75" t="s">
        <v>221</v>
      </c>
      <c r="F198" s="107"/>
      <c r="G198" s="107"/>
      <c r="H198" s="107">
        <f>+H199</f>
        <v>6615</v>
      </c>
      <c r="I198" s="107"/>
    </row>
    <row r="199" spans="2:9" x14ac:dyDescent="0.25">
      <c r="B199" s="76" t="s">
        <v>149</v>
      </c>
      <c r="C199" s="77"/>
      <c r="D199" s="108"/>
      <c r="E199" s="79" t="s">
        <v>129</v>
      </c>
      <c r="F199" s="107"/>
      <c r="G199" s="107"/>
      <c r="H199" s="107">
        <f>+H200</f>
        <v>6615</v>
      </c>
      <c r="I199" s="107"/>
    </row>
    <row r="200" spans="2:9" x14ac:dyDescent="0.25">
      <c r="B200" s="52"/>
      <c r="C200" s="53">
        <v>3</v>
      </c>
      <c r="D200" s="81"/>
      <c r="E200" s="79" t="s">
        <v>4</v>
      </c>
      <c r="F200" s="71"/>
      <c r="G200" s="71"/>
      <c r="H200" s="71">
        <f>+H201</f>
        <v>6615</v>
      </c>
      <c r="I200" s="71"/>
    </row>
    <row r="201" spans="2:9" x14ac:dyDescent="0.25">
      <c r="B201" s="52"/>
      <c r="C201" s="53"/>
      <c r="D201" s="54">
        <v>32</v>
      </c>
      <c r="E201" s="42" t="s">
        <v>13</v>
      </c>
      <c r="F201" s="71"/>
      <c r="G201" s="71"/>
      <c r="H201" s="71">
        <f>+H202</f>
        <v>6615</v>
      </c>
      <c r="I201" s="71"/>
    </row>
    <row r="202" spans="2:9" x14ac:dyDescent="0.25">
      <c r="B202" s="52"/>
      <c r="C202" s="53"/>
      <c r="D202" s="80">
        <v>323</v>
      </c>
      <c r="E202" s="42" t="s">
        <v>101</v>
      </c>
      <c r="F202" s="71"/>
      <c r="G202" s="71"/>
      <c r="H202" s="71">
        <f>+H203</f>
        <v>6615</v>
      </c>
      <c r="I202" s="71"/>
    </row>
    <row r="203" spans="2:9" x14ac:dyDescent="0.25">
      <c r="B203" s="52"/>
      <c r="C203" s="53"/>
      <c r="D203" s="81">
        <v>3239</v>
      </c>
      <c r="E203" s="42" t="s">
        <v>140</v>
      </c>
      <c r="F203" s="71"/>
      <c r="G203" s="71"/>
      <c r="H203" s="71">
        <v>6615</v>
      </c>
      <c r="I203" s="71"/>
    </row>
    <row r="204" spans="2:9" x14ac:dyDescent="0.25">
      <c r="B204" s="89">
        <v>52</v>
      </c>
      <c r="C204" s="90"/>
      <c r="D204" s="91"/>
      <c r="E204" s="75" t="s">
        <v>164</v>
      </c>
      <c r="F204" s="107">
        <f>+F205+F221</f>
        <v>227021.12</v>
      </c>
      <c r="G204" s="107">
        <f>+G205+G221</f>
        <v>227021.12</v>
      </c>
      <c r="H204" s="107">
        <f>+H205+H221</f>
        <v>1846781.98</v>
      </c>
      <c r="I204" s="74">
        <f t="shared" ref="I204:I207" si="19">+H204/G204*100</f>
        <v>813.48465728651149</v>
      </c>
    </row>
    <row r="205" spans="2:9" x14ac:dyDescent="0.25">
      <c r="B205" s="76" t="s">
        <v>165</v>
      </c>
      <c r="C205" s="77"/>
      <c r="D205" s="78"/>
      <c r="E205" s="79" t="s">
        <v>94</v>
      </c>
      <c r="F205" s="107">
        <f>+F206+F217</f>
        <v>198676.43</v>
      </c>
      <c r="G205" s="107">
        <f>+G206+G217</f>
        <v>198676.43</v>
      </c>
      <c r="H205" s="107">
        <f>+H206+H217</f>
        <v>181809.11</v>
      </c>
      <c r="I205" s="74">
        <f t="shared" si="19"/>
        <v>91.510155482459581</v>
      </c>
    </row>
    <row r="206" spans="2:9" x14ac:dyDescent="0.25">
      <c r="B206" s="52"/>
      <c r="C206" s="53">
        <v>3</v>
      </c>
      <c r="D206" s="54"/>
      <c r="E206" s="42" t="s">
        <v>4</v>
      </c>
      <c r="F206" s="71">
        <f>+F207</f>
        <v>125438.78</v>
      </c>
      <c r="G206" s="71">
        <f>+G207</f>
        <v>125438.78</v>
      </c>
      <c r="H206" s="71">
        <f>+H207</f>
        <v>108571.46</v>
      </c>
      <c r="I206" s="69">
        <f t="shared" si="19"/>
        <v>86.553344986295315</v>
      </c>
    </row>
    <row r="207" spans="2:9" x14ac:dyDescent="0.25">
      <c r="B207" s="52"/>
      <c r="C207" s="53"/>
      <c r="D207" s="54">
        <v>32</v>
      </c>
      <c r="E207" s="42" t="s">
        <v>13</v>
      </c>
      <c r="F207" s="71">
        <v>125438.78</v>
      </c>
      <c r="G207" s="71">
        <v>125438.78</v>
      </c>
      <c r="H207" s="71">
        <f>+H208+H211+H215</f>
        <v>108571.46</v>
      </c>
      <c r="I207" s="69">
        <f t="shared" si="19"/>
        <v>86.553344986295315</v>
      </c>
    </row>
    <row r="208" spans="2:9" x14ac:dyDescent="0.25">
      <c r="B208" s="52"/>
      <c r="C208" s="53"/>
      <c r="D208" s="80">
        <v>321</v>
      </c>
      <c r="E208" s="42" t="s">
        <v>41</v>
      </c>
      <c r="F208" s="71"/>
      <c r="G208" s="71"/>
      <c r="H208" s="71">
        <f>+H209+H210</f>
        <v>807.39</v>
      </c>
      <c r="I208" s="71"/>
    </row>
    <row r="209" spans="2:9" x14ac:dyDescent="0.25">
      <c r="B209" s="52"/>
      <c r="C209" s="53"/>
      <c r="D209" s="81">
        <v>3211</v>
      </c>
      <c r="E209" s="42" t="s">
        <v>42</v>
      </c>
      <c r="F209" s="71"/>
      <c r="G209" s="71"/>
      <c r="H209" s="71">
        <v>707.39</v>
      </c>
      <c r="I209" s="71"/>
    </row>
    <row r="210" spans="2:9" x14ac:dyDescent="0.25">
      <c r="B210" s="52"/>
      <c r="C210" s="53"/>
      <c r="D210" s="81">
        <v>3213</v>
      </c>
      <c r="E210" s="42" t="s">
        <v>95</v>
      </c>
      <c r="F210" s="71"/>
      <c r="G210" s="71"/>
      <c r="H210" s="71">
        <v>100</v>
      </c>
      <c r="I210" s="71"/>
    </row>
    <row r="211" spans="2:9" x14ac:dyDescent="0.25">
      <c r="B211" s="52"/>
      <c r="C211" s="53"/>
      <c r="D211" s="80">
        <v>323</v>
      </c>
      <c r="E211" s="42" t="s">
        <v>101</v>
      </c>
      <c r="F211" s="71"/>
      <c r="G211" s="71"/>
      <c r="H211" s="71">
        <f>+H212+H213+H214</f>
        <v>107764.07</v>
      </c>
      <c r="I211" s="71"/>
    </row>
    <row r="212" spans="2:9" x14ac:dyDescent="0.25">
      <c r="B212" s="52"/>
      <c r="C212" s="53"/>
      <c r="D212" s="81">
        <v>3233</v>
      </c>
      <c r="E212" s="42" t="s">
        <v>104</v>
      </c>
      <c r="F212" s="71"/>
      <c r="G212" s="71"/>
      <c r="H212" s="71">
        <v>472.83</v>
      </c>
      <c r="I212" s="71"/>
    </row>
    <row r="213" spans="2:9" x14ac:dyDescent="0.25">
      <c r="B213" s="52"/>
      <c r="C213" s="53"/>
      <c r="D213" s="81">
        <v>3237</v>
      </c>
      <c r="E213" s="42" t="s">
        <v>106</v>
      </c>
      <c r="F213" s="71"/>
      <c r="G213" s="71"/>
      <c r="H213" s="71">
        <f>53083.59+1863.19+117.5</f>
        <v>55064.28</v>
      </c>
      <c r="I213" s="71"/>
    </row>
    <row r="214" spans="2:9" x14ac:dyDescent="0.25">
      <c r="B214" s="52"/>
      <c r="C214" s="53"/>
      <c r="D214" s="81">
        <v>3239</v>
      </c>
      <c r="E214" s="42" t="s">
        <v>140</v>
      </c>
      <c r="F214" s="71"/>
      <c r="G214" s="71"/>
      <c r="H214" s="71">
        <f>48359.46+830+3037.5</f>
        <v>52226.96</v>
      </c>
      <c r="I214" s="71"/>
    </row>
    <row r="215" spans="2:9" x14ac:dyDescent="0.25">
      <c r="B215" s="52"/>
      <c r="C215" s="53"/>
      <c r="D215" s="80">
        <v>329</v>
      </c>
      <c r="E215" s="42" t="s">
        <v>109</v>
      </c>
      <c r="F215" s="71"/>
      <c r="G215" s="71"/>
      <c r="H215" s="71"/>
      <c r="I215" s="71"/>
    </row>
    <row r="216" spans="2:9" x14ac:dyDescent="0.25">
      <c r="B216" s="52"/>
      <c r="C216" s="53"/>
      <c r="D216" s="81">
        <v>3293</v>
      </c>
      <c r="E216" s="42" t="s">
        <v>111</v>
      </c>
      <c r="F216" s="71"/>
      <c r="G216" s="71"/>
      <c r="H216" s="71"/>
      <c r="I216" s="71"/>
    </row>
    <row r="217" spans="2:9" x14ac:dyDescent="0.25">
      <c r="B217" s="52"/>
      <c r="C217" s="53">
        <v>4</v>
      </c>
      <c r="D217" s="54"/>
      <c r="E217" s="42" t="s">
        <v>6</v>
      </c>
      <c r="F217" s="71">
        <f>+F218</f>
        <v>73237.649999999994</v>
      </c>
      <c r="G217" s="71">
        <f>+G218</f>
        <v>73237.649999999994</v>
      </c>
      <c r="H217" s="71">
        <f>+H218</f>
        <v>73237.649999999994</v>
      </c>
      <c r="I217" s="69">
        <f t="shared" ref="I217:I218" si="20">+H217/G217*100</f>
        <v>100</v>
      </c>
    </row>
    <row r="218" spans="2:9" ht="25.5" x14ac:dyDescent="0.25">
      <c r="B218" s="52"/>
      <c r="C218" s="53"/>
      <c r="D218" s="54">
        <v>42</v>
      </c>
      <c r="E218" s="42" t="s">
        <v>115</v>
      </c>
      <c r="F218" s="71">
        <v>73237.649999999994</v>
      </c>
      <c r="G218" s="71">
        <v>73237.649999999994</v>
      </c>
      <c r="H218" s="71">
        <f>+H219</f>
        <v>73237.649999999994</v>
      </c>
      <c r="I218" s="69">
        <f t="shared" si="20"/>
        <v>100</v>
      </c>
    </row>
    <row r="219" spans="2:9" x14ac:dyDescent="0.25">
      <c r="B219" s="52"/>
      <c r="C219" s="53"/>
      <c r="D219" s="80">
        <v>422</v>
      </c>
      <c r="E219" s="42" t="s">
        <v>116</v>
      </c>
      <c r="F219" s="71"/>
      <c r="G219" s="71"/>
      <c r="H219" s="71">
        <f>+H220</f>
        <v>73237.649999999994</v>
      </c>
      <c r="I219" s="71"/>
    </row>
    <row r="220" spans="2:9" x14ac:dyDescent="0.25">
      <c r="B220" s="52"/>
      <c r="C220" s="53"/>
      <c r="D220" s="81">
        <v>4221</v>
      </c>
      <c r="E220" s="42" t="s">
        <v>117</v>
      </c>
      <c r="F220" s="71"/>
      <c r="G220" s="71"/>
      <c r="H220" s="71">
        <v>73237.649999999994</v>
      </c>
      <c r="I220" s="71"/>
    </row>
    <row r="221" spans="2:9" x14ac:dyDescent="0.25">
      <c r="B221" s="76" t="s">
        <v>149</v>
      </c>
      <c r="C221" s="77"/>
      <c r="D221" s="78"/>
      <c r="E221" s="79" t="s">
        <v>166</v>
      </c>
      <c r="F221" s="107">
        <f>+F222</f>
        <v>28344.69</v>
      </c>
      <c r="G221" s="107">
        <f>+G222</f>
        <v>28344.69</v>
      </c>
      <c r="H221" s="107">
        <f>+H222+H229</f>
        <v>1664972.8699999999</v>
      </c>
      <c r="I221" s="74">
        <f t="shared" ref="I221:I223" si="21">+H221/G221*100</f>
        <v>5874.0203897096781</v>
      </c>
    </row>
    <row r="222" spans="2:9" x14ac:dyDescent="0.25">
      <c r="B222" s="76"/>
      <c r="C222" s="77">
        <v>3</v>
      </c>
      <c r="D222" s="78"/>
      <c r="E222" s="79" t="s">
        <v>4</v>
      </c>
      <c r="F222" s="71">
        <f>+F223+F226</f>
        <v>28344.69</v>
      </c>
      <c r="G222" s="71">
        <f>+G223+G226</f>
        <v>28344.69</v>
      </c>
      <c r="H222" s="71">
        <f>+H223+H226</f>
        <v>27044.89</v>
      </c>
      <c r="I222" s="69">
        <f t="shared" si="21"/>
        <v>95.414308641230519</v>
      </c>
    </row>
    <row r="223" spans="2:9" x14ac:dyDescent="0.25">
      <c r="B223" s="52"/>
      <c r="C223" s="53"/>
      <c r="D223" s="54">
        <v>31</v>
      </c>
      <c r="E223" s="42" t="s">
        <v>5</v>
      </c>
      <c r="F223" s="71">
        <v>27214.69</v>
      </c>
      <c r="G223" s="71">
        <v>27214.69</v>
      </c>
      <c r="H223" s="71">
        <f>+H224</f>
        <v>25915.43</v>
      </c>
      <c r="I223" s="69">
        <f t="shared" si="21"/>
        <v>95.225887195481562</v>
      </c>
    </row>
    <row r="224" spans="2:9" x14ac:dyDescent="0.25">
      <c r="B224" s="52"/>
      <c r="C224" s="53"/>
      <c r="D224" s="80">
        <v>311</v>
      </c>
      <c r="E224" s="42" t="s">
        <v>130</v>
      </c>
      <c r="F224" s="71"/>
      <c r="G224" s="71"/>
      <c r="H224" s="71">
        <f>+H225</f>
        <v>25915.43</v>
      </c>
      <c r="I224" s="71"/>
    </row>
    <row r="225" spans="2:9" x14ac:dyDescent="0.25">
      <c r="B225" s="52"/>
      <c r="C225" s="53"/>
      <c r="D225" s="81">
        <v>3111</v>
      </c>
      <c r="E225" s="42" t="s">
        <v>40</v>
      </c>
      <c r="F225" s="71"/>
      <c r="G225" s="71"/>
      <c r="H225" s="71">
        <v>25915.43</v>
      </c>
      <c r="I225" s="71"/>
    </row>
    <row r="226" spans="2:9" x14ac:dyDescent="0.25">
      <c r="B226" s="52"/>
      <c r="C226" s="53"/>
      <c r="D226" s="54">
        <v>32</v>
      </c>
      <c r="E226" s="42" t="s">
        <v>13</v>
      </c>
      <c r="F226" s="71">
        <v>1130</v>
      </c>
      <c r="G226" s="71">
        <v>1130</v>
      </c>
      <c r="H226" s="71">
        <f>+H227</f>
        <v>1129.46</v>
      </c>
      <c r="I226" s="69">
        <f t="shared" ref="I226" si="22">+H226/G226*100</f>
        <v>99.952212389380534</v>
      </c>
    </row>
    <row r="227" spans="2:9" x14ac:dyDescent="0.25">
      <c r="B227" s="52"/>
      <c r="C227" s="53"/>
      <c r="D227" s="80">
        <v>321</v>
      </c>
      <c r="E227" s="42" t="s">
        <v>41</v>
      </c>
      <c r="F227" s="71"/>
      <c r="G227" s="71"/>
      <c r="H227" s="71">
        <f>+H228</f>
        <v>1129.46</v>
      </c>
      <c r="I227" s="71"/>
    </row>
    <row r="228" spans="2:9" x14ac:dyDescent="0.25">
      <c r="B228" s="52"/>
      <c r="C228" s="53"/>
      <c r="D228" s="81">
        <v>3212</v>
      </c>
      <c r="E228" s="42" t="s">
        <v>136</v>
      </c>
      <c r="F228" s="71"/>
      <c r="G228" s="71"/>
      <c r="H228" s="71">
        <v>1129.46</v>
      </c>
      <c r="I228" s="71"/>
    </row>
    <row r="229" spans="2:9" x14ac:dyDescent="0.25">
      <c r="B229" s="87">
        <v>4</v>
      </c>
      <c r="C229" s="53"/>
      <c r="D229" s="81"/>
      <c r="E229" s="42" t="s">
        <v>6</v>
      </c>
      <c r="F229" s="71"/>
      <c r="G229" s="71"/>
      <c r="H229" s="71">
        <f>+H230</f>
        <v>1637927.98</v>
      </c>
      <c r="I229" s="71"/>
    </row>
    <row r="230" spans="2:9" ht="25.5" x14ac:dyDescent="0.25">
      <c r="B230" s="52"/>
      <c r="C230" s="53">
        <v>45</v>
      </c>
      <c r="D230" s="81"/>
      <c r="E230" s="42" t="s">
        <v>126</v>
      </c>
      <c r="F230" s="71"/>
      <c r="G230" s="71"/>
      <c r="H230" s="71">
        <f>+H231</f>
        <v>1637927.98</v>
      </c>
      <c r="I230" s="71"/>
    </row>
    <row r="231" spans="2:9" x14ac:dyDescent="0.25">
      <c r="B231" s="52"/>
      <c r="C231" s="53"/>
      <c r="D231" s="54">
        <v>451</v>
      </c>
      <c r="E231" s="42" t="s">
        <v>127</v>
      </c>
      <c r="F231" s="71"/>
      <c r="G231" s="71"/>
      <c r="H231" s="71">
        <f>+H232</f>
        <v>1637927.98</v>
      </c>
      <c r="I231" s="71"/>
    </row>
    <row r="232" spans="2:9" x14ac:dyDescent="0.25">
      <c r="B232" s="52"/>
      <c r="C232" s="53"/>
      <c r="D232" s="81">
        <v>4511</v>
      </c>
      <c r="E232" s="42" t="s">
        <v>127</v>
      </c>
      <c r="F232" s="71"/>
      <c r="G232" s="71"/>
      <c r="H232" s="71">
        <v>1637927.98</v>
      </c>
      <c r="I232" s="71"/>
    </row>
    <row r="233" spans="2:9" x14ac:dyDescent="0.25">
      <c r="B233" s="82">
        <v>57</v>
      </c>
      <c r="C233" s="90"/>
      <c r="D233" s="91"/>
      <c r="E233" s="75" t="s">
        <v>167</v>
      </c>
      <c r="F233" s="107">
        <f t="shared" ref="F233:H234" si="23">+F234</f>
        <v>3620611.85</v>
      </c>
      <c r="G233" s="107">
        <f t="shared" si="23"/>
        <v>3620611.85</v>
      </c>
      <c r="H233" s="107">
        <f t="shared" si="23"/>
        <v>7448334.8300000001</v>
      </c>
      <c r="I233" s="74">
        <f t="shared" ref="I233:I235" si="24">+H233/G233*100</f>
        <v>205.72033508645782</v>
      </c>
    </row>
    <row r="234" spans="2:9" x14ac:dyDescent="0.25">
      <c r="B234" s="76" t="s">
        <v>168</v>
      </c>
      <c r="C234" s="77"/>
      <c r="D234" s="78"/>
      <c r="E234" s="79" t="s">
        <v>169</v>
      </c>
      <c r="F234" s="107">
        <f t="shared" si="23"/>
        <v>3620611.85</v>
      </c>
      <c r="G234" s="107">
        <f t="shared" si="23"/>
        <v>3620611.85</v>
      </c>
      <c r="H234" s="107">
        <f t="shared" si="23"/>
        <v>7448334.8300000001</v>
      </c>
      <c r="I234" s="74">
        <f t="shared" si="24"/>
        <v>205.72033508645782</v>
      </c>
    </row>
    <row r="235" spans="2:9" x14ac:dyDescent="0.25">
      <c r="B235" s="52"/>
      <c r="C235" s="53">
        <v>4</v>
      </c>
      <c r="D235" s="54"/>
      <c r="E235" s="42" t="s">
        <v>6</v>
      </c>
      <c r="F235" s="71">
        <f>+F239</f>
        <v>3620611.85</v>
      </c>
      <c r="G235" s="71">
        <f>+G239</f>
        <v>3620611.85</v>
      </c>
      <c r="H235" s="71">
        <f>+H236+H239</f>
        <v>7448334.8300000001</v>
      </c>
      <c r="I235" s="69">
        <f t="shared" si="24"/>
        <v>205.72033508645782</v>
      </c>
    </row>
    <row r="236" spans="2:9" ht="25.5" x14ac:dyDescent="0.25">
      <c r="B236" s="52"/>
      <c r="C236" s="53"/>
      <c r="D236" s="54">
        <v>42</v>
      </c>
      <c r="E236" s="42" t="s">
        <v>115</v>
      </c>
      <c r="F236" s="71"/>
      <c r="G236" s="71"/>
      <c r="H236" s="71">
        <f>+H237</f>
        <v>157729.43</v>
      </c>
      <c r="I236" s="71"/>
    </row>
    <row r="237" spans="2:9" x14ac:dyDescent="0.25">
      <c r="B237" s="52"/>
      <c r="C237" s="53"/>
      <c r="D237" s="80">
        <v>422</v>
      </c>
      <c r="E237" s="42" t="s">
        <v>116</v>
      </c>
      <c r="F237" s="71"/>
      <c r="G237" s="71"/>
      <c r="H237" s="71">
        <f>+H238</f>
        <v>157729.43</v>
      </c>
      <c r="I237" s="71"/>
    </row>
    <row r="238" spans="2:9" x14ac:dyDescent="0.25">
      <c r="B238" s="52"/>
      <c r="C238" s="53"/>
      <c r="D238" s="81">
        <v>4221</v>
      </c>
      <c r="E238" s="42" t="s">
        <v>117</v>
      </c>
      <c r="F238" s="71"/>
      <c r="G238" s="71"/>
      <c r="H238" s="71">
        <v>157729.43</v>
      </c>
      <c r="I238" s="71"/>
    </row>
    <row r="239" spans="2:9" ht="25.5" x14ac:dyDescent="0.25">
      <c r="B239" s="52"/>
      <c r="C239" s="53"/>
      <c r="D239" s="54">
        <v>45</v>
      </c>
      <c r="E239" s="42" t="s">
        <v>126</v>
      </c>
      <c r="F239" s="71">
        <v>3620611.85</v>
      </c>
      <c r="G239" s="71">
        <v>3620611.85</v>
      </c>
      <c r="H239" s="71">
        <f>+H240</f>
        <v>7290605.4000000004</v>
      </c>
      <c r="I239" s="69">
        <f t="shared" ref="I239" si="25">+H239/G239*100</f>
        <v>201.36390483282543</v>
      </c>
    </row>
    <row r="240" spans="2:9" x14ac:dyDescent="0.25">
      <c r="B240" s="52"/>
      <c r="C240" s="53"/>
      <c r="D240" s="80">
        <v>451</v>
      </c>
      <c r="E240" s="42" t="s">
        <v>127</v>
      </c>
      <c r="F240" s="71"/>
      <c r="G240" s="71"/>
      <c r="H240" s="71">
        <f>+H241</f>
        <v>7290605.4000000004</v>
      </c>
      <c r="I240" s="71"/>
    </row>
    <row r="241" spans="2:9" x14ac:dyDescent="0.25">
      <c r="B241" s="52"/>
      <c r="C241" s="53"/>
      <c r="D241" s="81">
        <v>4511</v>
      </c>
      <c r="E241" s="42" t="s">
        <v>127</v>
      </c>
      <c r="F241" s="71"/>
      <c r="G241" s="71"/>
      <c r="H241" s="71">
        <v>7290605.4000000004</v>
      </c>
      <c r="I241" s="71"/>
    </row>
    <row r="242" spans="2:9" x14ac:dyDescent="0.25">
      <c r="B242" s="89">
        <v>61</v>
      </c>
      <c r="C242" s="90"/>
      <c r="D242" s="91"/>
      <c r="E242" s="75" t="s">
        <v>170</v>
      </c>
      <c r="F242" s="107">
        <f>+F243</f>
        <v>100000</v>
      </c>
      <c r="G242" s="107">
        <f>+G243</f>
        <v>100000</v>
      </c>
      <c r="H242" s="107">
        <f>+H243</f>
        <v>180427.29</v>
      </c>
      <c r="I242" s="74">
        <f t="shared" ref="I242:I245" si="26">+H242/G242*100</f>
        <v>180.42729000000003</v>
      </c>
    </row>
    <row r="243" spans="2:9" x14ac:dyDescent="0.25">
      <c r="B243" s="76" t="s">
        <v>149</v>
      </c>
      <c r="C243" s="77"/>
      <c r="D243" s="78"/>
      <c r="E243" s="79" t="s">
        <v>166</v>
      </c>
      <c r="F243" s="107">
        <f>+F244+F250</f>
        <v>100000</v>
      </c>
      <c r="G243" s="107">
        <f>+G244+G250</f>
        <v>100000</v>
      </c>
      <c r="H243" s="107">
        <f>+H244+H250</f>
        <v>180427.29</v>
      </c>
      <c r="I243" s="74">
        <f t="shared" si="26"/>
        <v>180.42729000000003</v>
      </c>
    </row>
    <row r="244" spans="2:9" x14ac:dyDescent="0.25">
      <c r="B244" s="52"/>
      <c r="C244" s="53">
        <v>3</v>
      </c>
      <c r="D244" s="54"/>
      <c r="E244" s="79" t="s">
        <v>4</v>
      </c>
      <c r="F244" s="71">
        <f>+F245</f>
        <v>1000</v>
      </c>
      <c r="G244" s="71">
        <f>+G245</f>
        <v>1000</v>
      </c>
      <c r="H244" s="71">
        <f>+H245</f>
        <v>2018.8400000000001</v>
      </c>
      <c r="I244" s="69">
        <f t="shared" si="26"/>
        <v>201.88399999999999</v>
      </c>
    </row>
    <row r="245" spans="2:9" x14ac:dyDescent="0.25">
      <c r="B245" s="52"/>
      <c r="C245" s="53"/>
      <c r="D245" s="54">
        <v>32</v>
      </c>
      <c r="E245" s="42" t="s">
        <v>13</v>
      </c>
      <c r="F245" s="71">
        <v>1000</v>
      </c>
      <c r="G245" s="71">
        <v>1000</v>
      </c>
      <c r="H245" s="71">
        <f>+H246+H248</f>
        <v>2018.8400000000001</v>
      </c>
      <c r="I245" s="69">
        <f t="shared" si="26"/>
        <v>201.88399999999999</v>
      </c>
    </row>
    <row r="246" spans="2:9" x14ac:dyDescent="0.25">
      <c r="B246" s="52"/>
      <c r="C246" s="53"/>
      <c r="D246" s="54">
        <v>323</v>
      </c>
      <c r="E246" s="42" t="s">
        <v>101</v>
      </c>
      <c r="F246" s="71"/>
      <c r="G246" s="71"/>
      <c r="H246" s="71">
        <f>+H247</f>
        <v>1000</v>
      </c>
      <c r="I246" s="71"/>
    </row>
    <row r="247" spans="2:9" x14ac:dyDescent="0.25">
      <c r="B247" s="52"/>
      <c r="C247" s="53"/>
      <c r="D247" s="81">
        <v>3239</v>
      </c>
      <c r="E247" s="42" t="s">
        <v>140</v>
      </c>
      <c r="F247" s="71"/>
      <c r="G247" s="71"/>
      <c r="H247" s="71">
        <v>1000</v>
      </c>
      <c r="I247" s="71"/>
    </row>
    <row r="248" spans="2:9" x14ac:dyDescent="0.25">
      <c r="B248" s="52"/>
      <c r="C248" s="53"/>
      <c r="D248" s="54">
        <v>329</v>
      </c>
      <c r="E248" s="42" t="s">
        <v>109</v>
      </c>
      <c r="F248" s="71"/>
      <c r="G248" s="71"/>
      <c r="H248" s="71">
        <f>+H249</f>
        <v>1018.84</v>
      </c>
      <c r="I248" s="71"/>
    </row>
    <row r="249" spans="2:9" x14ac:dyDescent="0.25">
      <c r="B249" s="52"/>
      <c r="C249" s="53"/>
      <c r="D249" s="81">
        <v>3293</v>
      </c>
      <c r="E249" s="42" t="s">
        <v>111</v>
      </c>
      <c r="F249" s="71"/>
      <c r="G249" s="71"/>
      <c r="H249" s="71">
        <v>1018.84</v>
      </c>
      <c r="I249" s="71"/>
    </row>
    <row r="250" spans="2:9" x14ac:dyDescent="0.25">
      <c r="B250" s="52"/>
      <c r="C250" s="53">
        <v>4</v>
      </c>
      <c r="D250" s="54"/>
      <c r="E250" s="42" t="s">
        <v>6</v>
      </c>
      <c r="F250" s="71">
        <f>+F251</f>
        <v>99000</v>
      </c>
      <c r="G250" s="71">
        <f>+G251</f>
        <v>99000</v>
      </c>
      <c r="H250" s="71">
        <f>+H251</f>
        <v>178408.45</v>
      </c>
      <c r="I250" s="69">
        <f t="shared" ref="I250:I251" si="27">+H250/G250*100</f>
        <v>180.21055555555557</v>
      </c>
    </row>
    <row r="251" spans="2:9" ht="25.5" x14ac:dyDescent="0.25">
      <c r="B251" s="52"/>
      <c r="C251" s="53"/>
      <c r="D251" s="54">
        <v>43</v>
      </c>
      <c r="E251" s="42" t="s">
        <v>123</v>
      </c>
      <c r="F251" s="71">
        <v>99000</v>
      </c>
      <c r="G251" s="71">
        <v>99000</v>
      </c>
      <c r="H251" s="71">
        <f>+H252</f>
        <v>178408.45</v>
      </c>
      <c r="I251" s="69">
        <f t="shared" si="27"/>
        <v>180.21055555555557</v>
      </c>
    </row>
    <row r="252" spans="2:9" ht="25.5" x14ac:dyDescent="0.25">
      <c r="B252" s="52"/>
      <c r="C252" s="53"/>
      <c r="D252" s="80">
        <v>431</v>
      </c>
      <c r="E252" s="42" t="s">
        <v>124</v>
      </c>
      <c r="F252" s="71"/>
      <c r="G252" s="71"/>
      <c r="H252" s="71">
        <f>+H253</f>
        <v>178408.45</v>
      </c>
      <c r="I252" s="71"/>
    </row>
    <row r="253" spans="2:9" x14ac:dyDescent="0.25">
      <c r="B253" s="52"/>
      <c r="C253" s="53"/>
      <c r="D253" s="81">
        <v>4312</v>
      </c>
      <c r="E253" s="42" t="s">
        <v>125</v>
      </c>
      <c r="F253" s="71"/>
      <c r="G253" s="71"/>
      <c r="H253" s="71">
        <v>178408.45</v>
      </c>
      <c r="I253" s="71"/>
    </row>
    <row r="254" spans="2:9" ht="45" x14ac:dyDescent="0.25">
      <c r="B254" s="84">
        <v>71</v>
      </c>
      <c r="C254" s="85"/>
      <c r="D254" s="91"/>
      <c r="E254" s="109" t="s">
        <v>172</v>
      </c>
      <c r="F254" s="110"/>
      <c r="G254" s="110"/>
      <c r="H254" s="107">
        <f>+H255</f>
        <v>6634.25</v>
      </c>
      <c r="I254" s="110"/>
    </row>
    <row r="255" spans="2:9" x14ac:dyDescent="0.25">
      <c r="B255" s="76" t="s">
        <v>149</v>
      </c>
      <c r="C255" s="53"/>
      <c r="D255" s="78"/>
      <c r="E255" s="79" t="s">
        <v>166</v>
      </c>
      <c r="F255" s="110"/>
      <c r="G255" s="110"/>
      <c r="H255" s="107">
        <f>+H256</f>
        <v>6634.25</v>
      </c>
      <c r="I255" s="110"/>
    </row>
    <row r="256" spans="2:9" x14ac:dyDescent="0.25">
      <c r="B256" s="52"/>
      <c r="C256" s="53">
        <v>3</v>
      </c>
      <c r="D256" s="54"/>
      <c r="E256" s="79" t="s">
        <v>4</v>
      </c>
      <c r="F256" s="28"/>
      <c r="G256" s="28"/>
      <c r="H256" s="71">
        <f>+H257</f>
        <v>6634.25</v>
      </c>
      <c r="I256" s="28"/>
    </row>
    <row r="257" spans="2:9" x14ac:dyDescent="0.25">
      <c r="B257" s="52"/>
      <c r="C257" s="53"/>
      <c r="D257" s="54">
        <v>32</v>
      </c>
      <c r="E257" s="42" t="s">
        <v>13</v>
      </c>
      <c r="F257" s="28"/>
      <c r="G257" s="28"/>
      <c r="H257" s="71">
        <f>+H258</f>
        <v>6634.25</v>
      </c>
      <c r="I257" s="28"/>
    </row>
    <row r="258" spans="2:9" x14ac:dyDescent="0.25">
      <c r="B258" s="52"/>
      <c r="C258" s="53"/>
      <c r="D258" s="80">
        <v>323</v>
      </c>
      <c r="E258" s="42" t="s">
        <v>101</v>
      </c>
      <c r="F258" s="28"/>
      <c r="G258" s="28"/>
      <c r="H258" s="71">
        <f>+H259</f>
        <v>6634.25</v>
      </c>
      <c r="I258" s="28"/>
    </row>
    <row r="259" spans="2:9" x14ac:dyDescent="0.25">
      <c r="B259" s="52"/>
      <c r="C259" s="53"/>
      <c r="D259" s="81">
        <v>3232</v>
      </c>
      <c r="E259" s="42" t="s">
        <v>103</v>
      </c>
      <c r="F259" s="28"/>
      <c r="G259" s="28"/>
      <c r="H259" s="71">
        <v>6634.25</v>
      </c>
      <c r="I259" s="28"/>
    </row>
  </sheetData>
  <mergeCells count="6">
    <mergeCell ref="B9:D9"/>
    <mergeCell ref="B4:I4"/>
    <mergeCell ref="B6:E6"/>
    <mergeCell ref="B7:E7"/>
    <mergeCell ref="B2:I2"/>
    <mergeCell ref="B8:D8"/>
  </mergeCells>
  <pageMargins left="0.7" right="0.7" top="0.75" bottom="0.75" header="0.3" footer="0.3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Radni listovi</vt:lpstr>
      </vt:variant>
      <vt:variant>
        <vt:i4>7</vt:i4>
      </vt:variant>
      <vt:variant>
        <vt:lpstr>Imenovani rasponi</vt:lpstr>
      </vt:variant>
      <vt:variant>
        <vt:i4>2</vt:i4>
      </vt:variant>
    </vt:vector>
  </HeadingPairs>
  <TitlesOfParts>
    <vt:vector size="9" baseType="lpstr">
      <vt:lpstr>SAŽETAK</vt:lpstr>
      <vt:lpstr> Račun prihoda i rashoda</vt:lpstr>
      <vt:lpstr>Rashodi prema izvorima finan</vt:lpstr>
      <vt:lpstr>Rashodi prema funkcijskoj k </vt:lpstr>
      <vt:lpstr>Račun financiranja</vt:lpstr>
      <vt:lpstr>Račun fin prema izvorima f</vt:lpstr>
      <vt:lpstr>POSEBNI DIO</vt:lpstr>
      <vt:lpstr>' Račun prihoda i rashoda'!Podrucje_ispisa</vt:lpstr>
      <vt:lpstr>SAŽETAK!Podrucje_ispisa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Marija Lacković</dc:creator>
  <cp:lastModifiedBy>Paulina Benić</cp:lastModifiedBy>
  <cp:lastPrinted>2024-03-12T09:03:38Z</cp:lastPrinted>
  <dcterms:created xsi:type="dcterms:W3CDTF">2022-08-12T12:51:27Z</dcterms:created>
  <dcterms:modified xsi:type="dcterms:W3CDTF">2024-03-21T11:33:56Z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Tablica ogledni format izvještaja o izvršenju PKDP.xlsx</vt:lpwstr>
  </property>
</Properties>
</file>