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24915" windowHeight="11715" activeTab="0"/>
  </bookViews>
  <sheets>
    <sheet name="List1" sheetId="1" r:id="rId1"/>
    <sheet name="List2" sheetId="2" r:id="rId2"/>
    <sheet name="List3" sheetId="3" r:id="rId3"/>
  </sheets>
  <definedNames>
    <definedName name="__CDS_P1_G1__">'List1'!$A$229:$O$272</definedName>
    <definedName name="__CDS_P1_G2__">'List1'!$B$231:$O$238</definedName>
    <definedName name="__CDS_P1_G3__">'List1'!$C$233:$O$237</definedName>
    <definedName name="__CDS_P1_G4__">'List1'!$C$235:$I$235</definedName>
    <definedName name="__CDS_TP_G1__">'List1'!#REF!</definedName>
    <definedName name="__CDS_TP_G2__">'List1'!#REF!</definedName>
    <definedName name="__CDS_TP_G3__">'List1'!#REF!</definedName>
    <definedName name="__CDS_TP_G4__">'List1'!#REF!</definedName>
    <definedName name="__CDSG1__">'List1'!$A$8:$O$186</definedName>
    <definedName name="__CDSG2__">'List1'!$A$10:$O$50</definedName>
    <definedName name="__CDSG3__">'List1'!$A$12:$O$49</definedName>
    <definedName name="__CDSG4__">'List1'!$C$14:$I$14</definedName>
    <definedName name="__CDSNaslov__">'List1'!$A$1:$O$7</definedName>
    <definedName name="__CDSNaslov_p1__">'List1'!$A$227:$O$228</definedName>
    <definedName name="__CDSNaslov_TP__">'List1'!#REF!</definedName>
    <definedName name="__CDSPR_Donos__">'List1'!#REF!</definedName>
    <definedName name="__Main__">'List1'!$A$1:$P$301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<sst xmlns="http://schemas.openxmlformats.org/spreadsheetml/2006/main" count="380" uniqueCount="183">
  <si>
    <t>s</t>
  </si>
  <si>
    <t>11</t>
  </si>
  <si>
    <t>31</t>
  </si>
  <si>
    <t>52</t>
  </si>
  <si>
    <t>040</t>
  </si>
  <si>
    <t>3111</t>
  </si>
  <si>
    <t>3112</t>
  </si>
  <si>
    <t>3113</t>
  </si>
  <si>
    <t>3114</t>
  </si>
  <si>
    <t>3121</t>
  </si>
  <si>
    <t>3132</t>
  </si>
  <si>
    <t>3211</t>
  </si>
  <si>
    <t>3212</t>
  </si>
  <si>
    <t>3213</t>
  </si>
  <si>
    <t>3221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</si>
  <si>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</si>
  <si>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</si>
  <si>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</si>
  <si>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</si>
  <si>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</si>
  <si>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</si>
  <si>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</si>
  <si>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</si>
  <si>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</si>
  <si>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</si>
  <si>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</si>
  <si>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</si>
  <si>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</si>
  <si>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</si>
  <si>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3292</t>
  </si>
  <si>
    <t>3293</t>
  </si>
  <si>
    <t>3294</t>
  </si>
  <si>
    <t>3295</t>
  </si>
  <si>
    <t>3296</t>
  </si>
  <si>
    <t>3299</t>
  </si>
  <si>
    <t>3431</t>
  </si>
  <si>
    <t>3432</t>
  </si>
  <si>
    <t>3433</t>
  </si>
  <si>
    <t>3434</t>
  </si>
  <si>
    <t>3721</t>
  </si>
  <si>
    <t>4123</t>
  </si>
  <si>
    <t>4221</t>
  </si>
  <si>
    <t>4222</t>
  </si>
  <si>
    <t>4223</t>
  </si>
  <si>
    <t>4262</t>
  </si>
  <si>
    <t>4312</t>
  </si>
  <si>
    <t>4511</t>
  </si>
  <si>
    <t>6391</t>
  </si>
  <si>
    <t>6614</t>
  </si>
  <si>
    <t>6615</t>
  </si>
  <si>
    <t>6711</t>
  </si>
  <si>
    <t>6712</t>
  </si>
  <si>
    <t>suma</t>
  </si>
  <si>
    <t>Izvori</t>
  </si>
  <si>
    <t>Licence</t>
  </si>
  <si>
    <t>Energija</t>
  </si>
  <si>
    <t>Ustanova</t>
  </si>
  <si>
    <t>SVEUKUPNO:</t>
  </si>
  <si>
    <t>Ostale usluge</t>
  </si>
  <si>
    <t>Reprezentacija</t>
  </si>
  <si>
    <t>Zatezne kamate</t>
  </si>
  <si>
    <t>Konto 4. razina</t>
  </si>
  <si>
    <t>Komunalne usluge</t>
  </si>
  <si>
    <t>Vlastiti prihodi</t>
  </si>
  <si>
    <t>Premije osiguranja</t>
  </si>
  <si>
    <t>Pristojbe i naknade</t>
  </si>
  <si>
    <t>Komunikacijska oprema</t>
  </si>
  <si>
    <t>Zakupnine i najamnine</t>
  </si>
  <si>
    <t>Iz proračuna</t>
  </si>
  <si>
    <t>Sitni inventar i auto gume</t>
  </si>
  <si>
    <t>Ostali rashodi za zaposlene</t>
  </si>
  <si>
    <t>Plaće u naravi</t>
  </si>
  <si>
    <t>Intelektualne i osobne usluge</t>
  </si>
  <si>
    <t>Računalne usluge</t>
  </si>
  <si>
    <t>Zdravstvene i veterinarske usluge</t>
  </si>
  <si>
    <t>Članarine i norme</t>
  </si>
  <si>
    <t>Prihodi od prodaje proizvoda i robe</t>
  </si>
  <si>
    <t>Službena putovanja</t>
  </si>
  <si>
    <t>ADMIN. I UPRAVLJANE OSTALI IZVORI HDA</t>
  </si>
  <si>
    <t>Ostali nespomenuti rashodi poslovanja</t>
  </si>
  <si>
    <t>Ostali nespomenuti financijski rashodi</t>
  </si>
  <si>
    <t>Plaće za redovan rad</t>
  </si>
  <si>
    <t>Pomoći grad. i župan</t>
  </si>
  <si>
    <t>Bankarske usluge i usluge platnog prometa</t>
  </si>
  <si>
    <t>Doprinosi za obvezno zdravstveno osiguranje</t>
  </si>
  <si>
    <t>Hrvatski državni arhiv</t>
  </si>
  <si>
    <t>Uredski materijal i ostali materijalni rashodi</t>
  </si>
  <si>
    <t>Plaće za prekovremeni rad</t>
  </si>
  <si>
    <t>Prihodi od pruženih usluga</t>
  </si>
  <si>
    <t>Troškovi sudskih postupaka</t>
  </si>
  <si>
    <t>Uredska oprema i namještaj</t>
  </si>
  <si>
    <t>Plaće za posebne uvjete rada</t>
  </si>
  <si>
    <t>Ulaganja u računalne programe</t>
  </si>
  <si>
    <t>Oprema za održavanje i zaštitu</t>
  </si>
  <si>
    <t>Usluge promidžbe i informiranja</t>
  </si>
  <si>
    <t>Stručno usavršavanje zaposlenika</t>
  </si>
  <si>
    <t>ADMIN. I UPRAV. Hrv. Držav. arhiv</t>
  </si>
  <si>
    <t>ARHIVI PROG.DJ. Hrv. Držav. arhiv</t>
  </si>
  <si>
    <t>Usluge telefona, pošte i prijevoza</t>
  </si>
  <si>
    <t>Naknade građanima i kućanstvima u novcu</t>
  </si>
  <si>
    <t>Službena, radna i zaštitna odjeća i obuća</t>
  </si>
  <si>
    <t>Dodatna ulaganja na građevinskim objektima</t>
  </si>
  <si>
    <t>Usluge tekućeg i investicijskog održavanja</t>
  </si>
  <si>
    <t>Naknade troškova osobama izvan radnog odnosa</t>
  </si>
  <si>
    <t>*ARHIVI PROG.DJ. OST.IZVORI Hrv. Držav. arhiv</t>
  </si>
  <si>
    <t>Naknade za prijevoz, za rad na terenu i odvojeni život</t>
  </si>
  <si>
    <t>Pohranjene knjige, umjetnička djela i slične vrijednosti</t>
  </si>
  <si>
    <t>Materijal i dijelovi za tekuće i investicijsko održavanje</t>
  </si>
  <si>
    <t>Tekući prijenosi između proračunskih korisnika istog proračuna</t>
  </si>
  <si>
    <t>Prihodi iz nadležnog proračuna za financiranje rashoda poslovanja</t>
  </si>
  <si>
    <t>Negativne tečajne razlike i razlike zbog primjene valutne klauzule</t>
  </si>
  <si>
    <t>Prihodi iz nadležnog proračuna za fin. rashoda za nabavu nefinac. imovine</t>
  </si>
  <si>
    <t>Sitan inventar i autogume</t>
  </si>
  <si>
    <t>Ulaganje u računalne programe</t>
  </si>
  <si>
    <t>Naknade za rad predstavničkih i izvršnih tijela</t>
  </si>
  <si>
    <t>Uređaji, strojevi i oprema za ostale namjene</t>
  </si>
  <si>
    <t>Aktivnost</t>
  </si>
  <si>
    <t>Ostali prihodi</t>
  </si>
  <si>
    <t>Pomoći grad. I županija</t>
  </si>
  <si>
    <t>Donacije</t>
  </si>
  <si>
    <t>Ostali nespomenuti prihodi</t>
  </si>
  <si>
    <t>Tekuće pomoći od izvanproračunskih korisnika</t>
  </si>
  <si>
    <t>Tekuće pomoći temeljem EU sredstava</t>
  </si>
  <si>
    <t>Kapitalne donacije</t>
  </si>
  <si>
    <t>Pomoći grad. i županija</t>
  </si>
  <si>
    <t>Indeks 1</t>
  </si>
  <si>
    <t>Indeks 2</t>
  </si>
  <si>
    <t>11=10/6*100</t>
  </si>
  <si>
    <t>12=10/9*100</t>
  </si>
  <si>
    <t>Ostale naknade troškova zaposlenima</t>
  </si>
  <si>
    <t>VIŠAK PRIHODA I PRIMITAKA - PRENESENI</t>
  </si>
  <si>
    <t>VIŠAK PRIHODA I PRIMITAKA RASPOLOŽIV U SLJEDEĆEM RAZDOBLJU</t>
  </si>
  <si>
    <t>Kamate na oročena sredstva i depozite po viđenju</t>
  </si>
  <si>
    <t>Prihodi od pozitivnih tečajnih razlika i razlika zbog primjene val.kl.</t>
  </si>
  <si>
    <t>RASHODI I IZDACI</t>
  </si>
  <si>
    <t>PRIHODI I PRIMICI</t>
  </si>
  <si>
    <t>HRVATSKI DRŽAVNI ARHIV, Marulićev trg 21, Zagreb</t>
  </si>
  <si>
    <t>Ostvarenje/izvršenje 2021.</t>
  </si>
  <si>
    <t>Instrumenti, uređaji, strojevi</t>
  </si>
  <si>
    <t>Dodatna ulaganja na postrojenjima i opremi</t>
  </si>
  <si>
    <t>Pomoći EU</t>
  </si>
  <si>
    <t>SANACIJA ŠTETE OD POTRESA</t>
  </si>
  <si>
    <t>Fond solidarnosti Europske unije  - potres ožujak 2020.</t>
  </si>
  <si>
    <t>Tekuće pomoći od institucija i tijela EU</t>
  </si>
  <si>
    <t>Kapitalne pomoći od institucija i tijela EU</t>
  </si>
  <si>
    <t>UKUPAN VIŠAK PRIHODA</t>
  </si>
  <si>
    <t>Kapitalni prijenosi između proračunskih korisnika istog proračuna</t>
  </si>
  <si>
    <t>Tekući prijenosi između proračunskih korisnika istog proračuna temeljem prijenosa EU sredstava</t>
  </si>
  <si>
    <t>IZVJEŠTAJ O IZVRŠENJU FINANCIJSKOG PLANA ZA 2022. GODINU</t>
  </si>
  <si>
    <t>Plan 2022.</t>
  </si>
  <si>
    <t>Rebalans I. 2022.</t>
  </si>
  <si>
    <t>Rebalans II. 2022.</t>
  </si>
  <si>
    <t>Ostvarenje/izvršenje 2022.</t>
  </si>
  <si>
    <t>A56502818</t>
  </si>
  <si>
    <t>A56502918</t>
  </si>
  <si>
    <t>A78300018</t>
  </si>
  <si>
    <t>A78300118</t>
  </si>
  <si>
    <t>A78300218</t>
  </si>
  <si>
    <t xml:space="preserve">Doprinosi za obvezno osiguranje </t>
  </si>
  <si>
    <t>Ostale kazne</t>
  </si>
  <si>
    <t>Zemljište</t>
  </si>
  <si>
    <t>Naknade troškova zaposlenima</t>
  </si>
  <si>
    <t>Rashodi za materijal i energiju</t>
  </si>
  <si>
    <t>Rashodi za usluge</t>
  </si>
  <si>
    <t>Nematerijalna imovina</t>
  </si>
  <si>
    <t>Postrojenja i oprema</t>
  </si>
  <si>
    <t>Nematerijalna proizvedena imovina</t>
  </si>
  <si>
    <t>Plemeniti metali i ostale pohranjene vrijednosti</t>
  </si>
  <si>
    <t>Plaće (bruto)</t>
  </si>
  <si>
    <t>Doprinosi na plaće</t>
  </si>
  <si>
    <t>Ostali financijski rashodi</t>
  </si>
  <si>
    <t>Ostale naknade građanima i kućanstvima iz proračuna</t>
  </si>
  <si>
    <t>Kazne,penali i naknade štete</t>
  </si>
  <si>
    <t>Materijalna imovina- prirodna bogatstva</t>
  </si>
  <si>
    <t>Prihodi iz nadležnog proračunaza financiranje redovne djelatnosti proračunskih korisnika</t>
  </si>
  <si>
    <t>Pomoći od međunarodnih organizacija te institucija i tijela EU</t>
  </si>
  <si>
    <t>Prijenosi između proračunskih korisnika istog proračuna</t>
  </si>
  <si>
    <t>Prihodi od financijske imovine</t>
  </si>
  <si>
    <t xml:space="preserve">Prihodi od prodaje proizvoda i robe te pruženih usluga </t>
  </si>
  <si>
    <t>Prihodi po posebnim propisima</t>
  </si>
  <si>
    <t>Pomoći od izvanproračunskih korisnika</t>
  </si>
  <si>
    <t>Pomoći temeljem EU sredstava</t>
  </si>
  <si>
    <t>Donacije od pravnih i fizičkih osoba izvan općeg proračuna i povrat donacija po protestiranim jamstvima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</si>
</sst>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dotted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64" fontId="52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33" borderId="0" xfId="0" applyFont="1" applyFill="1" applyAlignment="1">
      <alignment/>
    </xf>
    <xf numFmtId="0" fontId="52" fillId="0" borderId="0" xfId="0" applyFont="1" applyFill="1" applyAlignment="1">
      <alignment/>
    </xf>
    <xf numFmtId="0" fontId="55" fillId="4" borderId="0" xfId="0" applyFont="1" applyFill="1" applyBorder="1" applyAlignment="1">
      <alignment/>
    </xf>
    <xf numFmtId="0" fontId="52" fillId="4" borderId="0" xfId="0" applyFont="1" applyFill="1" applyAlignment="1">
      <alignment/>
    </xf>
    <xf numFmtId="164" fontId="55" fillId="4" borderId="0" xfId="0" applyNumberFormat="1" applyFont="1" applyFill="1" applyAlignment="1">
      <alignment horizontal="right"/>
    </xf>
    <xf numFmtId="164" fontId="52" fillId="0" borderId="0" xfId="0" applyNumberFormat="1" applyFont="1" applyFill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4" fillId="0" borderId="0" xfId="0" applyNumberFormat="1" applyFont="1" applyFill="1" applyBorder="1" applyAlignment="1">
      <alignment/>
    </xf>
    <xf numFmtId="10" fontId="54" fillId="0" borderId="0" xfId="0" applyNumberFormat="1" applyFont="1" applyFill="1" applyBorder="1" applyAlignment="1">
      <alignment horizontal="right"/>
    </xf>
    <xf numFmtId="164" fontId="57" fillId="0" borderId="0" xfId="0" applyNumberFormat="1" applyFont="1" applyFill="1" applyBorder="1" applyAlignment="1">
      <alignment/>
    </xf>
    <xf numFmtId="10" fontId="57" fillId="0" borderId="0" xfId="0" applyNumberFormat="1" applyFont="1" applyFill="1" applyBorder="1" applyAlignment="1">
      <alignment horizontal="right"/>
    </xf>
    <xf numFmtId="164" fontId="54" fillId="0" borderId="0" xfId="0" applyNumberFormat="1" applyFont="1" applyFill="1" applyBorder="1" applyAlignment="1">
      <alignment vertical="center"/>
    </xf>
    <xf numFmtId="10" fontId="54" fillId="0" borderId="0" xfId="0" applyNumberFormat="1" applyFont="1" applyFill="1" applyBorder="1" applyAlignment="1">
      <alignment horizontal="right" vertical="center"/>
    </xf>
    <xf numFmtId="164" fontId="58" fillId="0" borderId="0" xfId="0" applyNumberFormat="1" applyFont="1" applyFill="1" applyBorder="1" applyAlignment="1">
      <alignment/>
    </xf>
    <xf numFmtId="10" fontId="58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/>
    </xf>
    <xf numFmtId="10" fontId="52" fillId="0" borderId="0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58" fillId="0" borderId="0" xfId="0" applyNumberFormat="1" applyFont="1" applyFill="1" applyBorder="1" applyAlignment="1">
      <alignment horizontal="right"/>
    </xf>
    <xf numFmtId="164" fontId="60" fillId="0" borderId="0" xfId="0" applyNumberFormat="1" applyFont="1" applyFill="1" applyBorder="1" applyAlignment="1">
      <alignment horizontal="right"/>
    </xf>
    <xf numFmtId="10" fontId="60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 horizontal="right"/>
    </xf>
    <xf numFmtId="10" fontId="55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1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/>
    </xf>
    <xf numFmtId="4" fontId="52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55" fillId="33" borderId="0" xfId="0" applyNumberFormat="1" applyFont="1" applyFill="1" applyAlignment="1">
      <alignment/>
    </xf>
    <xf numFmtId="4" fontId="52" fillId="0" borderId="0" xfId="0" applyNumberFormat="1" applyFont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55" fillId="33" borderId="10" xfId="0" applyFont="1" applyFill="1" applyBorder="1" applyAlignment="1">
      <alignment horizontal="center" wrapText="1"/>
    </xf>
    <xf numFmtId="164" fontId="55" fillId="33" borderId="0" xfId="0" applyNumberFormat="1" applyFont="1" applyFill="1" applyAlignment="1">
      <alignment/>
    </xf>
    <xf numFmtId="0" fontId="55" fillId="34" borderId="0" xfId="0" applyFont="1" applyFill="1" applyBorder="1" applyAlignment="1">
      <alignment/>
    </xf>
    <xf numFmtId="164" fontId="55" fillId="34" borderId="0" xfId="0" applyNumberFormat="1" applyFont="1" applyFill="1" applyBorder="1" applyAlignment="1">
      <alignment/>
    </xf>
    <xf numFmtId="0" fontId="55" fillId="4" borderId="0" xfId="0" applyFont="1" applyFill="1" applyAlignment="1">
      <alignment/>
    </xf>
    <xf numFmtId="4" fontId="55" fillId="4" borderId="0" xfId="0" applyNumberFormat="1" applyFont="1" applyFill="1" applyAlignment="1">
      <alignment/>
    </xf>
    <xf numFmtId="164" fontId="55" fillId="4" borderId="0" xfId="0" applyNumberFormat="1" applyFont="1" applyFill="1" applyAlignment="1">
      <alignment/>
    </xf>
    <xf numFmtId="164" fontId="52" fillId="0" borderId="0" xfId="0" applyNumberFormat="1" applyFont="1" applyAlignment="1">
      <alignment horizontal="right"/>
    </xf>
    <xf numFmtId="0" fontId="52" fillId="0" borderId="0" xfId="0" applyFont="1" applyAlignment="1">
      <alignment horizontal="left"/>
    </xf>
    <xf numFmtId="4" fontId="55" fillId="0" borderId="0" xfId="0" applyNumberFormat="1" applyFont="1" applyAlignment="1">
      <alignment horizontal="right"/>
    </xf>
    <xf numFmtId="4" fontId="52" fillId="0" borderId="0" xfId="0" applyNumberFormat="1" applyFont="1" applyAlignment="1">
      <alignment horizontal="right"/>
    </xf>
    <xf numFmtId="164" fontId="55" fillId="0" borderId="0" xfId="0" applyNumberFormat="1" applyFont="1" applyAlignment="1">
      <alignment horizontal="right"/>
    </xf>
    <xf numFmtId="0" fontId="55" fillId="0" borderId="0" xfId="0" applyFont="1" applyAlignment="1">
      <alignment horizontal="left"/>
    </xf>
    <xf numFmtId="0" fontId="55" fillId="33" borderId="0" xfId="0" applyFont="1" applyFill="1" applyBorder="1" applyAlignment="1">
      <alignment vertical="center"/>
    </xf>
    <xf numFmtId="4" fontId="55" fillId="33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/>
    </xf>
    <xf numFmtId="0" fontId="55" fillId="34" borderId="11" xfId="0" applyFont="1" applyFill="1" applyBorder="1" applyAlignment="1">
      <alignment/>
    </xf>
    <xf numFmtId="0" fontId="55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164" fontId="55" fillId="34" borderId="0" xfId="0" applyNumberFormat="1" applyFont="1" applyFill="1" applyAlignment="1">
      <alignment horizontal="right"/>
    </xf>
    <xf numFmtId="0" fontId="55" fillId="0" borderId="0" xfId="0" applyFont="1" applyFill="1" applyBorder="1" applyAlignment="1">
      <alignment/>
    </xf>
    <xf numFmtId="4" fontId="55" fillId="0" borderId="0" xfId="0" applyNumberFormat="1" applyFont="1" applyFill="1" applyBorder="1" applyAlignment="1">
      <alignment/>
    </xf>
    <xf numFmtId="164" fontId="55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 horizontal="left"/>
    </xf>
    <xf numFmtId="4" fontId="52" fillId="0" borderId="0" xfId="0" applyNumberFormat="1" applyFont="1" applyFill="1" applyBorder="1" applyAlignment="1">
      <alignment/>
    </xf>
    <xf numFmtId="4" fontId="55" fillId="0" borderId="0" xfId="0" applyNumberFormat="1" applyFont="1" applyAlignment="1">
      <alignment/>
    </xf>
    <xf numFmtId="0" fontId="52" fillId="0" borderId="0" xfId="0" applyFont="1" applyFill="1" applyAlignment="1">
      <alignment horizontal="left"/>
    </xf>
    <xf numFmtId="0" fontId="55" fillId="33" borderId="1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5" fillId="0" borderId="0" xfId="0" applyFont="1" applyFill="1" applyAlignment="1">
      <alignment/>
    </xf>
    <xf numFmtId="4" fontId="55" fillId="0" borderId="0" xfId="0" applyNumberFormat="1" applyFont="1" applyFill="1" applyAlignment="1">
      <alignment/>
    </xf>
    <xf numFmtId="164" fontId="55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/>
    </xf>
    <xf numFmtId="4" fontId="55" fillId="0" borderId="0" xfId="0" applyNumberFormat="1" applyFont="1" applyFill="1" applyAlignment="1">
      <alignment horizontal="right"/>
    </xf>
    <xf numFmtId="164" fontId="55" fillId="0" borderId="0" xfId="0" applyNumberFormat="1" applyFont="1" applyFill="1" applyAlignment="1">
      <alignment horizontal="right"/>
    </xf>
    <xf numFmtId="4" fontId="52" fillId="0" borderId="0" xfId="0" applyNumberFormat="1" applyFont="1" applyFill="1" applyAlignment="1">
      <alignment horizontal="right"/>
    </xf>
    <xf numFmtId="0" fontId="55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55" fillId="0" borderId="13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5" fillId="0" borderId="0" xfId="0" applyFont="1" applyBorder="1" applyAlignment="1">
      <alignment/>
    </xf>
    <xf numFmtId="0" fontId="55" fillId="34" borderId="15" xfId="0" applyFont="1" applyFill="1" applyBorder="1" applyAlignment="1">
      <alignment/>
    </xf>
    <xf numFmtId="0" fontId="55" fillId="34" borderId="16" xfId="0" applyFont="1" applyFill="1" applyBorder="1" applyAlignment="1">
      <alignment/>
    </xf>
    <xf numFmtId="0" fontId="55" fillId="34" borderId="17" xfId="0" applyFont="1" applyFill="1" applyBorder="1" applyAlignment="1">
      <alignment/>
    </xf>
    <xf numFmtId="0" fontId="55" fillId="34" borderId="18" xfId="0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64" fillId="0" borderId="0" xfId="0" applyFont="1" applyAlignment="1">
      <alignment/>
    </xf>
    <xf numFmtId="0" fontId="50" fillId="0" borderId="0" xfId="0" applyFont="1" applyAlignment="1">
      <alignment/>
    </xf>
    <xf numFmtId="0" fontId="57" fillId="0" borderId="0" xfId="0" applyFont="1" applyAlignment="1">
      <alignment horizontal="center"/>
    </xf>
    <xf numFmtId="0" fontId="55" fillId="0" borderId="19" xfId="0" applyFont="1" applyFill="1" applyBorder="1" applyAlignment="1">
      <alignment horizontal="left"/>
    </xf>
    <xf numFmtId="0" fontId="55" fillId="0" borderId="19" xfId="0" applyFont="1" applyBorder="1" applyAlignment="1">
      <alignment horizontal="left"/>
    </xf>
    <xf numFmtId="0" fontId="65" fillId="0" borderId="0" xfId="0" applyFont="1" applyAlignment="1">
      <alignment/>
    </xf>
    <xf numFmtId="0" fontId="65" fillId="0" borderId="0" xfId="0" applyFont="1" applyAlignment="1">
      <alignment horizontal="left"/>
    </xf>
    <xf numFmtId="0" fontId="65" fillId="0" borderId="0" xfId="0" applyFont="1" applyAlignment="1">
      <alignment horizontal="right"/>
    </xf>
    <xf numFmtId="4" fontId="65" fillId="0" borderId="0" xfId="0" applyNumberFormat="1" applyFont="1" applyAlignment="1">
      <alignment/>
    </xf>
    <xf numFmtId="0" fontId="65" fillId="0" borderId="0" xfId="0" applyFont="1" applyAlignment="1">
      <alignment wrapText="1"/>
    </xf>
    <xf numFmtId="0" fontId="65" fillId="0" borderId="0" xfId="0" applyFont="1" applyFill="1" applyAlignment="1">
      <alignment horizontal="right"/>
    </xf>
    <xf numFmtId="0" fontId="65" fillId="0" borderId="0" xfId="0" applyFont="1" applyFill="1" applyBorder="1" applyAlignment="1">
      <alignment horizontal="right"/>
    </xf>
    <xf numFmtId="164" fontId="65" fillId="0" borderId="0" xfId="0" applyNumberFormat="1" applyFont="1" applyAlignment="1">
      <alignment/>
    </xf>
    <xf numFmtId="164" fontId="65" fillId="0" borderId="0" xfId="0" applyNumberFormat="1" applyFont="1" applyAlignment="1">
      <alignment horizontal="right"/>
    </xf>
    <xf numFmtId="4" fontId="65" fillId="0" borderId="0" xfId="0" applyNumberFormat="1" applyFont="1" applyFill="1" applyAlignment="1">
      <alignment/>
    </xf>
    <xf numFmtId="4" fontId="65" fillId="0" borderId="0" xfId="0" applyNumberFormat="1" applyFont="1" applyAlignment="1">
      <alignment horizontal="righ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2"/>
  <sheetViews>
    <sheetView tabSelected="1" zoomScale="90" zoomScaleNormal="90" zoomScalePageLayoutView="0" workbookViewId="0" topLeftCell="A257">
      <selection activeCell="G296" sqref="G296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54.28125" style="0" customWidth="1"/>
    <col min="6" max="6" width="22.28125" style="0" customWidth="1"/>
    <col min="7" max="7" width="23.8515625" style="0" customWidth="1"/>
    <col min="8" max="8" width="19.8515625" style="0" customWidth="1"/>
    <col min="9" max="9" width="26.28125" style="0" customWidth="1"/>
    <col min="10" max="10" width="22.28125" style="0" customWidth="1"/>
    <col min="11" max="11" width="23.7109375" style="95" customWidth="1"/>
    <col min="12" max="12" width="24.140625" style="0" customWidth="1"/>
    <col min="13" max="13" width="18.28125" style="0" bestFit="1" customWidth="1"/>
    <col min="14" max="15" width="18.7109375" style="0" customWidth="1"/>
    <col min="16" max="16" width="19.421875" style="0" customWidth="1"/>
  </cols>
  <sheetData>
    <row r="2" spans="1:15" ht="18">
      <c r="A2" s="4" t="s">
        <v>136</v>
      </c>
      <c r="B2" s="2"/>
      <c r="C2" s="2"/>
      <c r="D2" s="2"/>
      <c r="E2" s="2"/>
      <c r="G2" s="2"/>
      <c r="H2" s="2"/>
      <c r="I2" s="2"/>
      <c r="K2" s="94"/>
      <c r="N2" s="2"/>
      <c r="O2" s="2"/>
    </row>
    <row r="3" spans="1:15" ht="20.25" customHeight="1">
      <c r="A3" s="96" t="s">
        <v>148</v>
      </c>
      <c r="B3" s="96"/>
      <c r="C3" s="96"/>
      <c r="D3" s="96"/>
      <c r="E3" s="96"/>
      <c r="F3" s="96"/>
      <c r="G3" s="96"/>
      <c r="H3" s="96"/>
      <c r="I3" s="96"/>
      <c r="J3" s="43"/>
      <c r="K3" s="43"/>
      <c r="L3" s="43"/>
      <c r="M3" s="43"/>
      <c r="N3" s="43"/>
      <c r="O3" s="43"/>
    </row>
    <row r="4" spans="1:15" ht="13.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5" ht="20.25" customHeight="1">
      <c r="A5" s="98" t="s">
        <v>134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N5" s="1"/>
      <c r="O5" s="1"/>
    </row>
    <row r="6" spans="1:15" ht="34.5" customHeight="1">
      <c r="A6" s="45" t="s">
        <v>56</v>
      </c>
      <c r="B6" s="45" t="s">
        <v>116</v>
      </c>
      <c r="C6" s="45" t="s">
        <v>53</v>
      </c>
      <c r="D6" s="45" t="s">
        <v>61</v>
      </c>
      <c r="E6" s="45" t="str">
        <f>CONCATENATE("Naziv ",,D6)</f>
        <v>Naziv Konto 4. razina</v>
      </c>
      <c r="F6" s="45" t="s">
        <v>137</v>
      </c>
      <c r="G6" s="45" t="s">
        <v>149</v>
      </c>
      <c r="H6" s="45" t="s">
        <v>150</v>
      </c>
      <c r="I6" s="62" t="s">
        <v>151</v>
      </c>
      <c r="J6" s="45" t="s">
        <v>152</v>
      </c>
      <c r="K6" s="45" t="s">
        <v>125</v>
      </c>
      <c r="L6" s="45" t="s">
        <v>126</v>
      </c>
      <c r="N6" s="35"/>
      <c r="O6" s="35"/>
    </row>
    <row r="7" spans="1:15" ht="15.75" customHeight="1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 t="s">
        <v>127</v>
      </c>
      <c r="L7" s="62" t="s">
        <v>128</v>
      </c>
      <c r="N7" s="36"/>
      <c r="O7" s="36"/>
    </row>
    <row r="8" spans="1:15" ht="23.25" customHeight="1">
      <c r="A8" s="89" t="s">
        <v>4</v>
      </c>
      <c r="B8" s="90" t="s">
        <v>85</v>
      </c>
      <c r="C8" s="91"/>
      <c r="D8" s="47"/>
      <c r="E8" s="47"/>
      <c r="F8" s="48">
        <f>F10+F52+F75+F120+F216</f>
        <v>32647352.740000002</v>
      </c>
      <c r="G8" s="48">
        <f>G10+G52+G75+G120+G216</f>
        <v>55205755</v>
      </c>
      <c r="H8" s="48">
        <f>H10+H52+H75+H120+H216</f>
        <v>59094848.5</v>
      </c>
      <c r="I8" s="48">
        <f>I10+I52+I75+I120+I216</f>
        <v>60790192.70999999</v>
      </c>
      <c r="J8" s="48">
        <f>J10+J52+J75+J120+J216</f>
        <v>36285559.15</v>
      </c>
      <c r="K8" s="48">
        <f>J8/F8*100</f>
        <v>111.14395534294704</v>
      </c>
      <c r="L8" s="48">
        <f>J8/I8*100</f>
        <v>59.68982418447083</v>
      </c>
      <c r="N8" s="13"/>
      <c r="O8" s="14"/>
    </row>
    <row r="9" spans="1:15" ht="30" customHeight="1" hidden="1">
      <c r="A9" s="88"/>
      <c r="B9" s="88"/>
      <c r="C9" s="47"/>
      <c r="D9" s="47"/>
      <c r="E9" s="47"/>
      <c r="F9" s="42"/>
      <c r="G9" s="47"/>
      <c r="H9" s="47"/>
      <c r="I9" s="48"/>
      <c r="J9" s="42"/>
      <c r="K9" s="72" t="e">
        <f>J9/#REF!*100</f>
        <v>#REF!</v>
      </c>
      <c r="L9" s="42"/>
      <c r="N9" s="15"/>
      <c r="O9" s="16"/>
    </row>
    <row r="10" spans="1:15" ht="23.25" customHeight="1">
      <c r="A10" s="38"/>
      <c r="B10" s="7" t="s">
        <v>153</v>
      </c>
      <c r="C10" s="7" t="s">
        <v>97</v>
      </c>
      <c r="D10" s="49"/>
      <c r="E10" s="49"/>
      <c r="F10" s="50">
        <f>SUM(F12)</f>
        <v>2697545.76</v>
      </c>
      <c r="G10" s="50">
        <f>SUM(G12)</f>
        <v>3756875</v>
      </c>
      <c r="H10" s="50">
        <f>SUM(H12)</f>
        <v>3756875</v>
      </c>
      <c r="I10" s="50">
        <f>SUM(I12)</f>
        <v>3756875</v>
      </c>
      <c r="J10" s="50">
        <f>SUM(J12)</f>
        <v>3368576.26</v>
      </c>
      <c r="K10" s="50">
        <f>J10/F10*100</f>
        <v>124.87559284258445</v>
      </c>
      <c r="L10" s="50">
        <f>J10/I10*100</f>
        <v>89.6643156879055</v>
      </c>
      <c r="M10" s="40"/>
      <c r="N10" s="19"/>
      <c r="O10" s="20"/>
    </row>
    <row r="11" spans="1:15" ht="30" customHeight="1" hidden="1">
      <c r="A11" s="38"/>
      <c r="B11" s="7"/>
      <c r="C11" s="7"/>
      <c r="D11" s="49"/>
      <c r="E11" s="49"/>
      <c r="F11" s="42"/>
      <c r="G11" s="50"/>
      <c r="H11" s="50"/>
      <c r="I11" s="51"/>
      <c r="J11" s="42"/>
      <c r="K11" s="72" t="e">
        <f>J11/#REF!*100</f>
        <v>#REF!</v>
      </c>
      <c r="L11" s="39" t="e">
        <f>J11/I11*100</f>
        <v>#DIV/0!</v>
      </c>
      <c r="N11" s="13"/>
      <c r="O11" s="14"/>
    </row>
    <row r="12" spans="1:15" ht="15">
      <c r="A12" s="38"/>
      <c r="B12" s="38"/>
      <c r="C12" s="87" t="s">
        <v>1</v>
      </c>
      <c r="D12" s="44" t="s">
        <v>68</v>
      </c>
      <c r="E12" s="44"/>
      <c r="F12" s="72">
        <f>SUM(F14:F48)</f>
        <v>2697545.76</v>
      </c>
      <c r="G12" s="72">
        <f>SUM(G14:G51)</f>
        <v>3756875</v>
      </c>
      <c r="H12" s="72">
        <f>SUM(H14:H51)</f>
        <v>3756875</v>
      </c>
      <c r="I12" s="42">
        <f>+I16+I22+I30+I35+I37+I43+I45+I47+I51</f>
        <v>3756875</v>
      </c>
      <c r="J12" s="42">
        <f>+J16+J22+J30+J35+J37+J43+J45+J47+J51</f>
        <v>3368576.26</v>
      </c>
      <c r="K12" s="72">
        <f>J12/F12*100</f>
        <v>124.87559284258445</v>
      </c>
      <c r="L12" s="72">
        <f>J12/I12*100</f>
        <v>89.6643156879055</v>
      </c>
      <c r="N12" s="21"/>
      <c r="O12" s="22"/>
    </row>
    <row r="13" spans="1:15" ht="15" hidden="1">
      <c r="A13" s="38"/>
      <c r="B13" s="38"/>
      <c r="C13" s="1"/>
      <c r="D13" s="1"/>
      <c r="E13" s="1"/>
      <c r="F13" s="42"/>
      <c r="G13" s="42"/>
      <c r="H13" s="42"/>
      <c r="I13" s="52"/>
      <c r="J13" s="42"/>
      <c r="K13" s="72" t="e">
        <f aca="true" t="shared" si="0" ref="K13:K52">J13/F13*100</f>
        <v>#DIV/0!</v>
      </c>
      <c r="L13" s="42" t="e">
        <f>J13/I13*100</f>
        <v>#DIV/0!</v>
      </c>
      <c r="N13" s="21"/>
      <c r="O13" s="22"/>
    </row>
    <row r="14" spans="1:15" ht="15">
      <c r="A14" s="38"/>
      <c r="B14" s="38"/>
      <c r="C14" s="1"/>
      <c r="D14" s="1" t="s">
        <v>11</v>
      </c>
      <c r="E14" s="1" t="s">
        <v>77</v>
      </c>
      <c r="F14" s="42">
        <v>28763.27</v>
      </c>
      <c r="G14" s="42">
        <v>100000</v>
      </c>
      <c r="H14" s="42">
        <v>100000</v>
      </c>
      <c r="I14" s="52">
        <v>80000</v>
      </c>
      <c r="J14" s="42">
        <v>80000</v>
      </c>
      <c r="K14" s="42">
        <f t="shared" si="0"/>
        <v>278.1324932804928</v>
      </c>
      <c r="L14" s="42">
        <f>+J14/I14*100</f>
        <v>100</v>
      </c>
      <c r="N14" s="21"/>
      <c r="O14" s="22"/>
    </row>
    <row r="15" spans="1:15" ht="15">
      <c r="A15" s="38"/>
      <c r="B15" s="38"/>
      <c r="C15" s="1"/>
      <c r="D15" s="1" t="s">
        <v>13</v>
      </c>
      <c r="E15" s="1" t="s">
        <v>95</v>
      </c>
      <c r="F15" s="42">
        <v>18000</v>
      </c>
      <c r="G15" s="42">
        <v>22000</v>
      </c>
      <c r="H15" s="42">
        <v>22000</v>
      </c>
      <c r="I15" s="52">
        <v>52000</v>
      </c>
      <c r="J15" s="42">
        <v>52000</v>
      </c>
      <c r="K15" s="42">
        <f t="shared" si="0"/>
        <v>288.88888888888886</v>
      </c>
      <c r="L15" s="42">
        <f aca="true" t="shared" si="1" ref="L15:L50">+J15/I15*100</f>
        <v>100</v>
      </c>
      <c r="M15" s="75"/>
      <c r="N15" s="21"/>
      <c r="O15" s="22"/>
    </row>
    <row r="16" spans="1:15" ht="15">
      <c r="A16" s="38"/>
      <c r="B16" s="38"/>
      <c r="C16" s="1"/>
      <c r="D16" s="99">
        <v>321</v>
      </c>
      <c r="E16" s="99" t="s">
        <v>161</v>
      </c>
      <c r="F16" s="42"/>
      <c r="G16" s="42"/>
      <c r="H16" s="42"/>
      <c r="I16" s="102">
        <f>+I15+I14</f>
        <v>132000</v>
      </c>
      <c r="J16" s="102">
        <f>+J14+J15</f>
        <v>132000</v>
      </c>
      <c r="K16" s="102"/>
      <c r="L16" s="102">
        <f>+J16/I16*100</f>
        <v>100</v>
      </c>
      <c r="M16" s="75"/>
      <c r="N16" s="21"/>
      <c r="O16" s="22"/>
    </row>
    <row r="17" spans="1:15" ht="15">
      <c r="A17" s="38"/>
      <c r="B17" s="38"/>
      <c r="C17" s="1"/>
      <c r="D17" s="1" t="s">
        <v>14</v>
      </c>
      <c r="E17" s="1" t="s">
        <v>86</v>
      </c>
      <c r="F17" s="42">
        <v>299500</v>
      </c>
      <c r="G17" s="42">
        <v>328900</v>
      </c>
      <c r="H17" s="42">
        <v>321400</v>
      </c>
      <c r="I17" s="52">
        <v>321400</v>
      </c>
      <c r="J17" s="42">
        <v>321400</v>
      </c>
      <c r="K17" s="42">
        <f t="shared" si="0"/>
        <v>107.31218697829716</v>
      </c>
      <c r="L17" s="42">
        <f t="shared" si="1"/>
        <v>100</v>
      </c>
      <c r="N17" s="21"/>
      <c r="O17" s="22"/>
    </row>
    <row r="18" spans="1:15" ht="15">
      <c r="A18" s="38"/>
      <c r="B18" s="38"/>
      <c r="C18" s="1"/>
      <c r="D18" s="53">
        <v>3223</v>
      </c>
      <c r="E18" s="1" t="s">
        <v>55</v>
      </c>
      <c r="F18" s="42">
        <v>676.42</v>
      </c>
      <c r="G18" s="42">
        <v>5000</v>
      </c>
      <c r="H18" s="42">
        <v>5000</v>
      </c>
      <c r="I18" s="52">
        <v>5000</v>
      </c>
      <c r="J18" s="42">
        <v>5000</v>
      </c>
      <c r="K18" s="42">
        <f t="shared" si="0"/>
        <v>739.1857130185389</v>
      </c>
      <c r="L18" s="42">
        <f t="shared" si="1"/>
        <v>100</v>
      </c>
      <c r="N18" s="21"/>
      <c r="O18" s="22"/>
    </row>
    <row r="19" spans="1:15" ht="15">
      <c r="A19" s="38"/>
      <c r="B19" s="38"/>
      <c r="C19" s="1"/>
      <c r="D19" s="53">
        <v>3224</v>
      </c>
      <c r="E19" s="1" t="s">
        <v>107</v>
      </c>
      <c r="F19" s="42">
        <v>0</v>
      </c>
      <c r="G19" s="42">
        <v>2000</v>
      </c>
      <c r="H19" s="42">
        <v>2000</v>
      </c>
      <c r="I19" s="52">
        <v>2000</v>
      </c>
      <c r="J19" s="42">
        <v>2000</v>
      </c>
      <c r="K19" s="42">
        <v>0</v>
      </c>
      <c r="L19" s="42">
        <f t="shared" si="1"/>
        <v>100</v>
      </c>
      <c r="N19" s="21"/>
      <c r="O19" s="22"/>
    </row>
    <row r="20" spans="1:15" ht="15">
      <c r="A20" s="38"/>
      <c r="B20" s="38"/>
      <c r="C20" s="1"/>
      <c r="D20" s="53">
        <v>3225</v>
      </c>
      <c r="E20" s="1" t="s">
        <v>112</v>
      </c>
      <c r="F20" s="42">
        <v>0</v>
      </c>
      <c r="G20" s="42">
        <v>17000</v>
      </c>
      <c r="H20" s="42">
        <v>15000</v>
      </c>
      <c r="I20" s="52">
        <v>15000</v>
      </c>
      <c r="J20" s="42">
        <v>15000</v>
      </c>
      <c r="K20" s="42">
        <v>0</v>
      </c>
      <c r="L20" s="42">
        <f t="shared" si="1"/>
        <v>100</v>
      </c>
      <c r="N20" s="21"/>
      <c r="O20" s="22"/>
    </row>
    <row r="21" spans="1:15" ht="15">
      <c r="A21" s="38"/>
      <c r="B21" s="38"/>
      <c r="C21" s="1"/>
      <c r="D21" s="53">
        <v>3227</v>
      </c>
      <c r="E21" s="1" t="s">
        <v>100</v>
      </c>
      <c r="F21" s="42">
        <v>2000</v>
      </c>
      <c r="G21" s="42">
        <v>0</v>
      </c>
      <c r="H21" s="42">
        <v>0</v>
      </c>
      <c r="I21" s="52">
        <v>0</v>
      </c>
      <c r="J21" s="42">
        <v>0</v>
      </c>
      <c r="K21" s="42">
        <f t="shared" si="0"/>
        <v>0</v>
      </c>
      <c r="L21" s="42">
        <v>0</v>
      </c>
      <c r="N21" s="21"/>
      <c r="O21" s="22"/>
    </row>
    <row r="22" spans="1:15" ht="15">
      <c r="A22" s="38"/>
      <c r="B22" s="38"/>
      <c r="C22" s="1"/>
      <c r="D22" s="99">
        <v>322</v>
      </c>
      <c r="E22" s="99" t="s">
        <v>162</v>
      </c>
      <c r="F22" s="42"/>
      <c r="G22" s="42"/>
      <c r="H22" s="42"/>
      <c r="I22" s="107">
        <f>SUM(I17:I21)</f>
        <v>343400</v>
      </c>
      <c r="J22" s="102">
        <f>SUM(J17:J21)</f>
        <v>343400</v>
      </c>
      <c r="K22" s="42"/>
      <c r="L22" s="102">
        <f>+J22/I22*100</f>
        <v>100</v>
      </c>
      <c r="N22" s="21"/>
      <c r="O22" s="22"/>
    </row>
    <row r="23" spans="1:15" ht="15">
      <c r="A23" s="38"/>
      <c r="B23" s="38"/>
      <c r="C23" s="1"/>
      <c r="D23" s="1" t="s">
        <v>19</v>
      </c>
      <c r="E23" s="1" t="s">
        <v>98</v>
      </c>
      <c r="F23" s="42">
        <v>11469.3</v>
      </c>
      <c r="G23" s="42">
        <v>20000</v>
      </c>
      <c r="H23" s="42">
        <v>20000</v>
      </c>
      <c r="I23" s="52">
        <v>20000</v>
      </c>
      <c r="J23" s="42">
        <v>20000</v>
      </c>
      <c r="K23" s="42">
        <f t="shared" si="0"/>
        <v>174.3785584124576</v>
      </c>
      <c r="L23" s="42">
        <f t="shared" si="1"/>
        <v>100</v>
      </c>
      <c r="N23" s="21"/>
      <c r="O23" s="22"/>
    </row>
    <row r="24" spans="1:15" ht="15">
      <c r="A24" s="38"/>
      <c r="B24" s="38"/>
      <c r="C24" s="1"/>
      <c r="D24" s="53">
        <v>3232</v>
      </c>
      <c r="E24" s="1" t="s">
        <v>102</v>
      </c>
      <c r="F24" s="42">
        <v>32000</v>
      </c>
      <c r="G24" s="42">
        <v>30000</v>
      </c>
      <c r="H24" s="42">
        <v>30000</v>
      </c>
      <c r="I24" s="52">
        <v>30000</v>
      </c>
      <c r="J24" s="42">
        <v>30000</v>
      </c>
      <c r="K24" s="42">
        <f t="shared" si="0"/>
        <v>93.75</v>
      </c>
      <c r="L24" s="42">
        <f t="shared" si="1"/>
        <v>100</v>
      </c>
      <c r="N24" s="21"/>
      <c r="O24" s="22"/>
    </row>
    <row r="25" spans="1:15" ht="15">
      <c r="A25" s="38"/>
      <c r="B25" s="38"/>
      <c r="C25" s="1"/>
      <c r="D25" s="53">
        <v>3233</v>
      </c>
      <c r="E25" s="1" t="s">
        <v>94</v>
      </c>
      <c r="F25" s="42">
        <v>0</v>
      </c>
      <c r="G25" s="42">
        <v>2000</v>
      </c>
      <c r="H25" s="42">
        <v>2000</v>
      </c>
      <c r="I25" s="52">
        <v>0</v>
      </c>
      <c r="J25" s="42">
        <v>0</v>
      </c>
      <c r="K25" s="42">
        <v>0</v>
      </c>
      <c r="L25" s="42">
        <v>0</v>
      </c>
      <c r="N25" s="21"/>
      <c r="O25" s="22"/>
    </row>
    <row r="26" spans="1:15" ht="15">
      <c r="A26" s="38"/>
      <c r="B26" s="38"/>
      <c r="C26" s="1"/>
      <c r="D26" s="53">
        <v>3235</v>
      </c>
      <c r="E26" s="1" t="s">
        <v>67</v>
      </c>
      <c r="F26" s="42">
        <v>2083.66</v>
      </c>
      <c r="G26" s="42">
        <v>35000</v>
      </c>
      <c r="H26" s="42">
        <v>35000</v>
      </c>
      <c r="I26" s="52">
        <v>35000</v>
      </c>
      <c r="J26" s="42">
        <v>35000</v>
      </c>
      <c r="K26" s="42">
        <f t="shared" si="0"/>
        <v>1679.7366172984077</v>
      </c>
      <c r="L26" s="42">
        <f t="shared" si="1"/>
        <v>100</v>
      </c>
      <c r="M26" s="40"/>
      <c r="N26" s="21"/>
      <c r="O26" s="22"/>
    </row>
    <row r="27" spans="1:15" ht="15">
      <c r="A27" s="38"/>
      <c r="B27" s="38"/>
      <c r="C27" s="1"/>
      <c r="D27" s="1" t="s">
        <v>25</v>
      </c>
      <c r="E27" s="1" t="s">
        <v>72</v>
      </c>
      <c r="F27" s="42">
        <v>165000</v>
      </c>
      <c r="G27" s="42">
        <v>163000</v>
      </c>
      <c r="H27" s="42">
        <v>163000</v>
      </c>
      <c r="I27" s="52">
        <v>163000</v>
      </c>
      <c r="J27" s="42">
        <v>163000</v>
      </c>
      <c r="K27" s="42">
        <f t="shared" si="0"/>
        <v>98.7878787878788</v>
      </c>
      <c r="L27" s="42">
        <f t="shared" si="1"/>
        <v>100</v>
      </c>
      <c r="M27" s="40"/>
      <c r="N27" s="21"/>
      <c r="O27" s="22"/>
    </row>
    <row r="28" spans="1:15" ht="15">
      <c r="A28" s="38"/>
      <c r="B28" s="38"/>
      <c r="C28" s="1"/>
      <c r="D28" s="1" t="s">
        <v>26</v>
      </c>
      <c r="E28" s="1" t="s">
        <v>73</v>
      </c>
      <c r="F28" s="42">
        <v>6600</v>
      </c>
      <c r="G28" s="42">
        <v>31600</v>
      </c>
      <c r="H28" s="42">
        <v>31600</v>
      </c>
      <c r="I28" s="52">
        <v>31600</v>
      </c>
      <c r="J28" s="42">
        <v>31600</v>
      </c>
      <c r="K28" s="42">
        <f t="shared" si="0"/>
        <v>478.7878787878788</v>
      </c>
      <c r="L28" s="42">
        <f t="shared" si="1"/>
        <v>100</v>
      </c>
      <c r="M28" s="40"/>
      <c r="N28" s="21"/>
      <c r="O28" s="22"/>
    </row>
    <row r="29" spans="1:15" ht="15">
      <c r="A29" s="38"/>
      <c r="B29" s="38"/>
      <c r="C29" s="1"/>
      <c r="D29" s="1" t="s">
        <v>27</v>
      </c>
      <c r="E29" s="1" t="s">
        <v>58</v>
      </c>
      <c r="F29" s="42">
        <v>257725.38</v>
      </c>
      <c r="G29" s="42">
        <v>375500</v>
      </c>
      <c r="H29" s="42">
        <v>363000</v>
      </c>
      <c r="I29" s="52">
        <v>353000</v>
      </c>
      <c r="J29" s="42">
        <v>440637.12</v>
      </c>
      <c r="K29" s="42">
        <f t="shared" si="0"/>
        <v>170.97156671182324</v>
      </c>
      <c r="L29" s="42">
        <f t="shared" si="1"/>
        <v>124.82637960339945</v>
      </c>
      <c r="N29" s="21"/>
      <c r="O29" s="22"/>
    </row>
    <row r="30" spans="1:15" ht="15">
      <c r="A30" s="38"/>
      <c r="B30" s="38"/>
      <c r="C30" s="1"/>
      <c r="D30" s="99">
        <v>323</v>
      </c>
      <c r="E30" s="99" t="s">
        <v>163</v>
      </c>
      <c r="F30" s="42"/>
      <c r="G30" s="42"/>
      <c r="H30" s="42"/>
      <c r="I30" s="107">
        <f>SUM(I23:I29)</f>
        <v>632600</v>
      </c>
      <c r="J30" s="102">
        <f>SUM(J23:J29)</f>
        <v>720237.12</v>
      </c>
      <c r="K30" s="42"/>
      <c r="L30" s="102">
        <f>+J30/I30*100</f>
        <v>113.8534808725893</v>
      </c>
      <c r="N30" s="21"/>
      <c r="O30" s="22"/>
    </row>
    <row r="31" spans="1:15" ht="15">
      <c r="A31" s="38"/>
      <c r="B31" s="38"/>
      <c r="C31" s="1"/>
      <c r="D31" s="53">
        <v>3292</v>
      </c>
      <c r="E31" s="1" t="s">
        <v>64</v>
      </c>
      <c r="F31" s="42">
        <v>603.25</v>
      </c>
      <c r="G31" s="42">
        <v>0</v>
      </c>
      <c r="H31" s="42">
        <v>0</v>
      </c>
      <c r="I31" s="52">
        <v>0</v>
      </c>
      <c r="J31" s="42">
        <v>0</v>
      </c>
      <c r="K31" s="42">
        <f t="shared" si="0"/>
        <v>0</v>
      </c>
      <c r="L31" s="42">
        <v>0</v>
      </c>
      <c r="N31" s="21"/>
      <c r="O31" s="22"/>
    </row>
    <row r="32" spans="1:15" ht="15">
      <c r="A32" s="38"/>
      <c r="B32" s="38"/>
      <c r="C32" s="1"/>
      <c r="D32" s="53">
        <v>3293</v>
      </c>
      <c r="E32" s="1" t="s">
        <v>59</v>
      </c>
      <c r="F32" s="42">
        <v>15000</v>
      </c>
      <c r="G32" s="42">
        <v>15000</v>
      </c>
      <c r="H32" s="42">
        <v>15000</v>
      </c>
      <c r="I32" s="52">
        <v>24500</v>
      </c>
      <c r="J32" s="42">
        <v>24500</v>
      </c>
      <c r="K32" s="42">
        <f t="shared" si="0"/>
        <v>163.33333333333334</v>
      </c>
      <c r="L32" s="42">
        <f t="shared" si="1"/>
        <v>100</v>
      </c>
      <c r="M32" s="40"/>
      <c r="N32" s="21"/>
      <c r="O32" s="22"/>
    </row>
    <row r="33" spans="1:15" ht="15">
      <c r="A33" s="38"/>
      <c r="B33" s="38"/>
      <c r="C33" s="1"/>
      <c r="D33" s="53">
        <v>3294</v>
      </c>
      <c r="E33" s="1" t="s">
        <v>75</v>
      </c>
      <c r="F33" s="42">
        <v>3776.65</v>
      </c>
      <c r="G33" s="42">
        <v>11000</v>
      </c>
      <c r="H33" s="42">
        <v>11000</v>
      </c>
      <c r="I33" s="52">
        <v>11000</v>
      </c>
      <c r="J33" s="42">
        <v>11000</v>
      </c>
      <c r="K33" s="42">
        <f t="shared" si="0"/>
        <v>291.2634212860604</v>
      </c>
      <c r="L33" s="42">
        <f t="shared" si="1"/>
        <v>100</v>
      </c>
      <c r="M33" s="75"/>
      <c r="N33" s="21"/>
      <c r="O33" s="22"/>
    </row>
    <row r="34" spans="1:15" ht="15">
      <c r="A34" s="38"/>
      <c r="B34" s="38"/>
      <c r="C34" s="1"/>
      <c r="D34" s="53">
        <v>3299</v>
      </c>
      <c r="E34" s="1" t="s">
        <v>79</v>
      </c>
      <c r="F34" s="42">
        <v>0</v>
      </c>
      <c r="G34" s="42">
        <v>7500</v>
      </c>
      <c r="H34" s="42">
        <v>7500</v>
      </c>
      <c r="I34" s="52">
        <v>0</v>
      </c>
      <c r="J34" s="42">
        <v>0</v>
      </c>
      <c r="K34" s="42">
        <v>0</v>
      </c>
      <c r="L34" s="42">
        <v>0</v>
      </c>
      <c r="N34" s="21"/>
      <c r="O34" s="22"/>
    </row>
    <row r="35" spans="1:15" ht="15">
      <c r="A35" s="38"/>
      <c r="B35" s="38"/>
      <c r="C35" s="1"/>
      <c r="D35" s="101">
        <v>329</v>
      </c>
      <c r="E35" s="99" t="s">
        <v>79</v>
      </c>
      <c r="F35" s="42"/>
      <c r="G35" s="42"/>
      <c r="H35" s="42"/>
      <c r="I35" s="107">
        <f>SUM(I31:I34)</f>
        <v>35500</v>
      </c>
      <c r="J35" s="102">
        <f>SUM(J31:J34)</f>
        <v>35500</v>
      </c>
      <c r="K35" s="42"/>
      <c r="L35" s="102">
        <f>+J35/I35*100</f>
        <v>100</v>
      </c>
      <c r="N35" s="21"/>
      <c r="O35" s="22"/>
    </row>
    <row r="36" spans="1:15" ht="15">
      <c r="A36" s="38"/>
      <c r="B36" s="38"/>
      <c r="C36" s="1"/>
      <c r="D36" s="1" t="s">
        <v>40</v>
      </c>
      <c r="E36" s="1" t="s">
        <v>54</v>
      </c>
      <c r="F36" s="42">
        <v>100000</v>
      </c>
      <c r="G36" s="42">
        <v>0</v>
      </c>
      <c r="H36" s="42">
        <v>120000</v>
      </c>
      <c r="I36" s="52">
        <v>120000</v>
      </c>
      <c r="J36" s="42">
        <v>120000</v>
      </c>
      <c r="K36" s="42">
        <f t="shared" si="0"/>
        <v>120</v>
      </c>
      <c r="L36" s="42">
        <f t="shared" si="1"/>
        <v>100</v>
      </c>
      <c r="N36" s="21"/>
      <c r="O36" s="22"/>
    </row>
    <row r="37" spans="1:15" ht="15">
      <c r="A37" s="38"/>
      <c r="B37" s="38"/>
      <c r="C37" s="1"/>
      <c r="D37" s="99">
        <v>412</v>
      </c>
      <c r="E37" s="99" t="s">
        <v>164</v>
      </c>
      <c r="F37" s="42"/>
      <c r="G37" s="42"/>
      <c r="H37" s="42"/>
      <c r="I37" s="107">
        <f>SUM(I36)</f>
        <v>120000</v>
      </c>
      <c r="J37" s="102">
        <f>SUM(J36)</f>
        <v>120000</v>
      </c>
      <c r="K37" s="42"/>
      <c r="L37" s="102">
        <f>+J37/I37*100</f>
        <v>100</v>
      </c>
      <c r="N37" s="21"/>
      <c r="O37" s="22"/>
    </row>
    <row r="38" spans="1:15" ht="15">
      <c r="A38" s="38"/>
      <c r="B38" s="38"/>
      <c r="C38" s="1"/>
      <c r="D38" s="1" t="s">
        <v>41</v>
      </c>
      <c r="E38" s="1" t="s">
        <v>90</v>
      </c>
      <c r="F38" s="42">
        <v>46350.1</v>
      </c>
      <c r="G38" s="42">
        <v>299375</v>
      </c>
      <c r="H38" s="42">
        <v>179375</v>
      </c>
      <c r="I38" s="52">
        <v>179375</v>
      </c>
      <c r="J38" s="42">
        <v>1703715</v>
      </c>
      <c r="K38" s="42">
        <f t="shared" si="0"/>
        <v>3675.7525873730588</v>
      </c>
      <c r="L38" s="42">
        <f t="shared" si="1"/>
        <v>949.8062717770034</v>
      </c>
      <c r="N38" s="21"/>
      <c r="O38" s="22"/>
    </row>
    <row r="39" spans="1:15" ht="15">
      <c r="A39" s="38"/>
      <c r="B39" s="38"/>
      <c r="C39" s="1"/>
      <c r="D39" s="1" t="s">
        <v>42</v>
      </c>
      <c r="E39" s="1" t="s">
        <v>66</v>
      </c>
      <c r="F39" s="42">
        <v>0</v>
      </c>
      <c r="G39" s="42">
        <v>0</v>
      </c>
      <c r="H39" s="42">
        <v>0</v>
      </c>
      <c r="I39" s="52">
        <v>0</v>
      </c>
      <c r="J39" s="42">
        <v>0</v>
      </c>
      <c r="K39" s="42">
        <v>0</v>
      </c>
      <c r="L39" s="42">
        <v>0</v>
      </c>
      <c r="N39" s="21"/>
      <c r="O39" s="22"/>
    </row>
    <row r="40" spans="1:15" ht="15">
      <c r="A40" s="38"/>
      <c r="B40" s="38"/>
      <c r="C40" s="1"/>
      <c r="D40" s="1" t="s">
        <v>43</v>
      </c>
      <c r="E40" s="1" t="s">
        <v>93</v>
      </c>
      <c r="F40" s="42">
        <v>66275</v>
      </c>
      <c r="G40" s="42">
        <v>35000</v>
      </c>
      <c r="H40" s="42">
        <v>34000</v>
      </c>
      <c r="I40" s="52">
        <v>34000</v>
      </c>
      <c r="J40" s="42">
        <v>34000</v>
      </c>
      <c r="K40" s="42">
        <f t="shared" si="0"/>
        <v>51.30139569973595</v>
      </c>
      <c r="L40" s="42">
        <f t="shared" si="1"/>
        <v>100</v>
      </c>
      <c r="N40" s="21"/>
      <c r="O40" s="22"/>
    </row>
    <row r="41" spans="1:15" ht="15">
      <c r="A41" s="38"/>
      <c r="B41" s="38"/>
      <c r="C41" s="1"/>
      <c r="D41" s="53">
        <v>4225</v>
      </c>
      <c r="E41" s="1" t="s">
        <v>138</v>
      </c>
      <c r="F41" s="42">
        <v>7725</v>
      </c>
      <c r="G41" s="42">
        <v>100000</v>
      </c>
      <c r="H41" s="42">
        <v>100000</v>
      </c>
      <c r="I41" s="52">
        <v>100000</v>
      </c>
      <c r="J41" s="42">
        <v>99724.14</v>
      </c>
      <c r="K41" s="42">
        <f t="shared" si="0"/>
        <v>1290.9273786407766</v>
      </c>
      <c r="L41" s="42">
        <f t="shared" si="1"/>
        <v>99.72413999999999</v>
      </c>
      <c r="N41" s="21"/>
      <c r="O41" s="22"/>
    </row>
    <row r="42" spans="1:15" ht="15">
      <c r="A42" s="38"/>
      <c r="B42" s="38"/>
      <c r="C42" s="1"/>
      <c r="D42" s="53">
        <v>4227</v>
      </c>
      <c r="E42" s="1" t="s">
        <v>115</v>
      </c>
      <c r="F42" s="42">
        <v>0</v>
      </c>
      <c r="G42" s="42">
        <v>13000</v>
      </c>
      <c r="H42" s="42">
        <v>16000</v>
      </c>
      <c r="I42" s="52">
        <v>16000</v>
      </c>
      <c r="J42" s="42">
        <v>16000</v>
      </c>
      <c r="K42" s="42">
        <v>0</v>
      </c>
      <c r="L42" s="42">
        <f t="shared" si="1"/>
        <v>100</v>
      </c>
      <c r="N42" s="21"/>
      <c r="O42" s="22"/>
    </row>
    <row r="43" spans="1:15" ht="15">
      <c r="A43" s="38"/>
      <c r="B43" s="38"/>
      <c r="C43" s="1"/>
      <c r="D43" s="101">
        <v>422</v>
      </c>
      <c r="E43" s="99" t="s">
        <v>165</v>
      </c>
      <c r="F43" s="42"/>
      <c r="G43" s="42"/>
      <c r="H43" s="42"/>
      <c r="I43" s="107">
        <f>SUM(I38:I42)</f>
        <v>329375</v>
      </c>
      <c r="J43" s="102">
        <f>SUM(J38:J42)</f>
        <v>1853439.14</v>
      </c>
      <c r="K43" s="42"/>
      <c r="L43" s="102">
        <f>+J43/I43*100</f>
        <v>562.7139703984819</v>
      </c>
      <c r="N43" s="21"/>
      <c r="O43" s="22"/>
    </row>
    <row r="44" spans="1:15" ht="15">
      <c r="A44" s="38"/>
      <c r="B44" s="38"/>
      <c r="C44" s="1"/>
      <c r="D44" s="53">
        <v>4262</v>
      </c>
      <c r="E44" s="1" t="s">
        <v>113</v>
      </c>
      <c r="F44" s="42">
        <v>0</v>
      </c>
      <c r="G44" s="42">
        <v>0</v>
      </c>
      <c r="H44" s="42">
        <v>20000</v>
      </c>
      <c r="I44" s="52">
        <v>20000</v>
      </c>
      <c r="J44" s="42">
        <v>20000</v>
      </c>
      <c r="K44" s="42">
        <v>0</v>
      </c>
      <c r="L44" s="42">
        <f t="shared" si="1"/>
        <v>100</v>
      </c>
      <c r="N44" s="21"/>
      <c r="O44" s="22"/>
    </row>
    <row r="45" spans="1:15" ht="15">
      <c r="A45" s="38"/>
      <c r="B45" s="38"/>
      <c r="C45" s="1"/>
      <c r="D45" s="101">
        <v>426</v>
      </c>
      <c r="E45" s="99" t="s">
        <v>166</v>
      </c>
      <c r="F45" s="42"/>
      <c r="G45" s="42"/>
      <c r="H45" s="42"/>
      <c r="I45" s="107">
        <f>SUM(I44)</f>
        <v>20000</v>
      </c>
      <c r="J45" s="102">
        <f>SUM(J44)</f>
        <v>20000</v>
      </c>
      <c r="K45" s="42"/>
      <c r="L45" s="102">
        <f>+J45/I45*100</f>
        <v>100</v>
      </c>
      <c r="N45" s="21"/>
      <c r="O45" s="22"/>
    </row>
    <row r="46" spans="1:15" ht="15">
      <c r="A46" s="38"/>
      <c r="B46" s="38"/>
      <c r="C46" s="1"/>
      <c r="D46" s="1" t="s">
        <v>45</v>
      </c>
      <c r="E46" s="1" t="s">
        <v>106</v>
      </c>
      <c r="F46" s="42">
        <v>117072.73</v>
      </c>
      <c r="G46" s="42">
        <v>144000</v>
      </c>
      <c r="H46" s="42">
        <v>144000</v>
      </c>
      <c r="I46" s="52">
        <v>144000</v>
      </c>
      <c r="J46" s="42">
        <v>144000</v>
      </c>
      <c r="K46" s="42">
        <f t="shared" si="0"/>
        <v>123.00046304549316</v>
      </c>
      <c r="L46" s="42">
        <f t="shared" si="1"/>
        <v>100</v>
      </c>
      <c r="N46" s="21"/>
      <c r="O46" s="22"/>
    </row>
    <row r="47" spans="1:15" ht="15">
      <c r="A47" s="38"/>
      <c r="B47" s="38"/>
      <c r="C47" s="1"/>
      <c r="D47" s="99">
        <v>431</v>
      </c>
      <c r="E47" s="99" t="s">
        <v>167</v>
      </c>
      <c r="F47" s="42"/>
      <c r="G47" s="42"/>
      <c r="H47" s="42"/>
      <c r="I47" s="107">
        <f>SUM(I46)</f>
        <v>144000</v>
      </c>
      <c r="J47" s="102">
        <f>SUM(J46)</f>
        <v>144000</v>
      </c>
      <c r="K47" s="42"/>
      <c r="L47" s="102">
        <f>+J47/I47*100</f>
        <v>100</v>
      </c>
      <c r="N47" s="21"/>
      <c r="O47" s="22"/>
    </row>
    <row r="48" spans="1:15" ht="15">
      <c r="A48" s="38"/>
      <c r="B48" s="38"/>
      <c r="C48" s="1"/>
      <c r="D48" s="1" t="s">
        <v>46</v>
      </c>
      <c r="E48" s="1" t="s">
        <v>101</v>
      </c>
      <c r="F48" s="42">
        <v>1516925</v>
      </c>
      <c r="G48" s="42">
        <v>2000000</v>
      </c>
      <c r="H48" s="42">
        <v>2000000</v>
      </c>
      <c r="I48" s="52">
        <v>2000000</v>
      </c>
      <c r="J48" s="42">
        <v>0</v>
      </c>
      <c r="K48" s="42">
        <f t="shared" si="0"/>
        <v>0</v>
      </c>
      <c r="L48" s="42">
        <f t="shared" si="1"/>
        <v>0</v>
      </c>
      <c r="N48" s="21"/>
      <c r="O48" s="22"/>
    </row>
    <row r="49" spans="1:15" ht="15" hidden="1">
      <c r="A49" s="38"/>
      <c r="B49" s="38"/>
      <c r="C49" s="1">
        <v>3</v>
      </c>
      <c r="D49" s="1"/>
      <c r="E49" s="1" t="s">
        <v>101</v>
      </c>
      <c r="F49" s="42"/>
      <c r="G49" s="1"/>
      <c r="H49" s="1"/>
      <c r="I49" s="52"/>
      <c r="J49" s="42"/>
      <c r="K49" s="42" t="e">
        <f t="shared" si="0"/>
        <v>#DIV/0!</v>
      </c>
      <c r="L49" s="42" t="e">
        <f t="shared" si="1"/>
        <v>#DIV/0!</v>
      </c>
      <c r="N49" s="21"/>
      <c r="O49" s="22"/>
    </row>
    <row r="50" spans="1:15" ht="19.5" customHeight="1" hidden="1">
      <c r="A50" s="1"/>
      <c r="B50" s="1"/>
      <c r="C50" s="1">
        <v>2</v>
      </c>
      <c r="D50" s="1"/>
      <c r="E50" s="1" t="s">
        <v>101</v>
      </c>
      <c r="F50" s="42"/>
      <c r="G50" s="1"/>
      <c r="H50" s="1"/>
      <c r="I50" s="3"/>
      <c r="J50" s="42"/>
      <c r="K50" s="42" t="e">
        <f t="shared" si="0"/>
        <v>#DIV/0!</v>
      </c>
      <c r="L50" s="42" t="e">
        <f t="shared" si="1"/>
        <v>#DIV/0!</v>
      </c>
      <c r="N50" s="23"/>
      <c r="O50" s="24"/>
    </row>
    <row r="51" spans="1:15" ht="19.5" customHeight="1">
      <c r="A51" s="1"/>
      <c r="B51" s="1"/>
      <c r="C51" s="1"/>
      <c r="D51" s="99">
        <v>451</v>
      </c>
      <c r="E51" s="99" t="s">
        <v>101</v>
      </c>
      <c r="F51" s="42"/>
      <c r="G51" s="1"/>
      <c r="H51" s="1"/>
      <c r="I51" s="106">
        <f>SUM(I48:I50)</f>
        <v>2000000</v>
      </c>
      <c r="J51" s="102">
        <f>SUM(J48:J50)</f>
        <v>0</v>
      </c>
      <c r="K51" s="42"/>
      <c r="L51" s="102">
        <f>+J51/I51*100</f>
        <v>0</v>
      </c>
      <c r="N51" s="23"/>
      <c r="O51" s="24"/>
    </row>
    <row r="52" spans="1:15" ht="23.25" customHeight="1">
      <c r="A52" s="38"/>
      <c r="B52" s="7" t="s">
        <v>154</v>
      </c>
      <c r="C52" s="7" t="s">
        <v>104</v>
      </c>
      <c r="D52" s="49"/>
      <c r="E52" s="49"/>
      <c r="F52" s="51">
        <f>SUM(F57)</f>
        <v>1199619.83</v>
      </c>
      <c r="G52" s="51">
        <f>SUM(G57)</f>
        <v>2048850</v>
      </c>
      <c r="H52" s="51">
        <f>SUM(H57)</f>
        <v>3627258.67</v>
      </c>
      <c r="I52" s="51">
        <f>SUM(I57)+I54</f>
        <v>4702602.88</v>
      </c>
      <c r="J52" s="51">
        <f>SUM(J57)+J54</f>
        <v>2200630.05</v>
      </c>
      <c r="K52" s="50">
        <f t="shared" si="0"/>
        <v>183.44395407335003</v>
      </c>
      <c r="L52" s="51">
        <f>J52/I52*100</f>
        <v>46.79600013344099</v>
      </c>
      <c r="N52" s="19"/>
      <c r="O52" s="20"/>
    </row>
    <row r="53" spans="1:15" ht="30" customHeight="1" hidden="1">
      <c r="A53" s="38"/>
      <c r="B53" s="7"/>
      <c r="C53" s="7"/>
      <c r="D53" s="49"/>
      <c r="E53" s="49"/>
      <c r="F53" s="42"/>
      <c r="G53" s="50"/>
      <c r="H53" s="50"/>
      <c r="I53" s="51"/>
      <c r="J53" s="51">
        <f>SUM(J58)+J55</f>
        <v>2396.32</v>
      </c>
      <c r="K53" s="72" t="e">
        <f>J53/#REF!*100</f>
        <v>#REF!</v>
      </c>
      <c r="L53" s="42" t="e">
        <f>J53/I53*100</f>
        <v>#DIV/0!</v>
      </c>
      <c r="N53" s="13"/>
      <c r="O53" s="14"/>
    </row>
    <row r="54" spans="1:15" ht="20.25" customHeight="1">
      <c r="A54" s="38"/>
      <c r="B54" s="67"/>
      <c r="C54" s="92">
        <v>51</v>
      </c>
      <c r="D54" s="76" t="s">
        <v>140</v>
      </c>
      <c r="E54" s="76"/>
      <c r="F54" s="77">
        <f>+F55</f>
        <v>0</v>
      </c>
      <c r="G54" s="77">
        <f>+G55</f>
        <v>0</v>
      </c>
      <c r="H54" s="77">
        <f>+H55</f>
        <v>0</v>
      </c>
      <c r="I54" s="78">
        <f>+I56</f>
        <v>2396.32</v>
      </c>
      <c r="J54" s="78">
        <f>+J56</f>
        <v>2396.32</v>
      </c>
      <c r="K54" s="77">
        <v>0</v>
      </c>
      <c r="L54" s="72">
        <f>+J54/I54*100</f>
        <v>100</v>
      </c>
      <c r="N54" s="13"/>
      <c r="O54" s="14"/>
    </row>
    <row r="55" spans="1:15" ht="18" customHeight="1">
      <c r="A55" s="38"/>
      <c r="B55" s="67"/>
      <c r="C55" s="67"/>
      <c r="D55" s="73">
        <v>3293</v>
      </c>
      <c r="E55" s="1" t="s">
        <v>59</v>
      </c>
      <c r="F55" s="39">
        <v>0</v>
      </c>
      <c r="G55" s="39">
        <v>0</v>
      </c>
      <c r="H55" s="39">
        <v>0</v>
      </c>
      <c r="I55" s="79">
        <v>2396.32</v>
      </c>
      <c r="J55" s="42">
        <v>2396.32</v>
      </c>
      <c r="K55" s="42">
        <v>0</v>
      </c>
      <c r="L55" s="42">
        <f aca="true" t="shared" si="2" ref="L55:L73">+J55/I55*100</f>
        <v>100</v>
      </c>
      <c r="N55" s="13"/>
      <c r="O55" s="14"/>
    </row>
    <row r="56" spans="1:15" ht="18" customHeight="1">
      <c r="A56" s="38"/>
      <c r="B56" s="67"/>
      <c r="C56" s="67"/>
      <c r="D56" s="101">
        <v>329</v>
      </c>
      <c r="E56" s="99" t="s">
        <v>79</v>
      </c>
      <c r="F56" s="39"/>
      <c r="G56" s="39"/>
      <c r="H56" s="39"/>
      <c r="I56" s="102">
        <f>SUM(I55)</f>
        <v>2396.32</v>
      </c>
      <c r="J56" s="102">
        <f>SUM(J55)</f>
        <v>2396.32</v>
      </c>
      <c r="K56" s="42"/>
      <c r="L56" s="102">
        <f>+J56/I56*100</f>
        <v>100</v>
      </c>
      <c r="N56" s="13"/>
      <c r="O56" s="14"/>
    </row>
    <row r="57" spans="1:15" ht="15">
      <c r="A57" s="38"/>
      <c r="B57" s="38"/>
      <c r="C57" s="67" t="s">
        <v>3</v>
      </c>
      <c r="D57" s="76" t="s">
        <v>82</v>
      </c>
      <c r="E57" s="76"/>
      <c r="F57" s="77">
        <f>SUM(F60:F71)</f>
        <v>1199619.83</v>
      </c>
      <c r="G57" s="77">
        <f>SUM(G60:G71)</f>
        <v>2048850</v>
      </c>
      <c r="H57" s="77">
        <f>SUM(H60:H73)</f>
        <v>3627258.67</v>
      </c>
      <c r="I57" s="77">
        <f>+I61+I70+I72+I74</f>
        <v>4700206.56</v>
      </c>
      <c r="J57" s="77">
        <f>+J61+J70+J72+J74</f>
        <v>2198233.73</v>
      </c>
      <c r="K57" s="77">
        <v>0</v>
      </c>
      <c r="L57" s="72">
        <f t="shared" si="2"/>
        <v>46.76887498323053</v>
      </c>
      <c r="N57" s="21"/>
      <c r="O57" s="22"/>
    </row>
    <row r="58" spans="1:15" ht="15" hidden="1">
      <c r="A58" s="38"/>
      <c r="B58" s="38"/>
      <c r="C58" s="25"/>
      <c r="D58" s="6"/>
      <c r="E58" s="6"/>
      <c r="F58" s="39"/>
      <c r="G58" s="39"/>
      <c r="H58" s="39"/>
      <c r="I58" s="10"/>
      <c r="J58" s="39"/>
      <c r="K58" s="77" t="e">
        <f>J58/#REF!*100</f>
        <v>#REF!</v>
      </c>
      <c r="L58" s="42" t="e">
        <f t="shared" si="2"/>
        <v>#DIV/0!</v>
      </c>
      <c r="N58" s="21"/>
      <c r="O58" s="22"/>
    </row>
    <row r="59" spans="1:15" ht="15">
      <c r="A59" s="38"/>
      <c r="B59" s="38"/>
      <c r="C59" s="25"/>
      <c r="D59" s="73">
        <v>3211</v>
      </c>
      <c r="E59" s="6" t="s">
        <v>77</v>
      </c>
      <c r="F59" s="39">
        <v>0</v>
      </c>
      <c r="G59" s="39">
        <v>0</v>
      </c>
      <c r="H59" s="39">
        <v>0</v>
      </c>
      <c r="I59" s="10">
        <v>86017.97</v>
      </c>
      <c r="J59" s="39">
        <v>52839.18</v>
      </c>
      <c r="K59" s="39">
        <v>0</v>
      </c>
      <c r="L59" s="42">
        <f t="shared" si="2"/>
        <v>61.42807136694809</v>
      </c>
      <c r="N59" s="21"/>
      <c r="O59" s="22"/>
    </row>
    <row r="60" spans="1:15" ht="15">
      <c r="A60" s="38"/>
      <c r="B60" s="38"/>
      <c r="C60" s="25"/>
      <c r="D60" s="73">
        <v>3213</v>
      </c>
      <c r="E60" s="6" t="s">
        <v>95</v>
      </c>
      <c r="F60" s="39">
        <v>0</v>
      </c>
      <c r="G60" s="39">
        <v>100000</v>
      </c>
      <c r="H60" s="39">
        <v>57350</v>
      </c>
      <c r="I60" s="10">
        <v>63061.7</v>
      </c>
      <c r="J60" s="39">
        <v>63061.7</v>
      </c>
      <c r="K60" s="39">
        <v>0</v>
      </c>
      <c r="L60" s="42">
        <f t="shared" si="2"/>
        <v>100</v>
      </c>
      <c r="N60" s="21"/>
      <c r="O60" s="22"/>
    </row>
    <row r="61" spans="1:15" ht="15">
      <c r="A61" s="38"/>
      <c r="B61" s="38"/>
      <c r="C61" s="25"/>
      <c r="D61" s="99">
        <v>321</v>
      </c>
      <c r="E61" s="99" t="s">
        <v>161</v>
      </c>
      <c r="F61" s="39"/>
      <c r="G61" s="39"/>
      <c r="H61" s="39"/>
      <c r="I61" s="108">
        <f>SUM(I59:I60)</f>
        <v>149079.66999999998</v>
      </c>
      <c r="J61" s="108">
        <f>SUM(J59:J60)</f>
        <v>115900.88</v>
      </c>
      <c r="K61" s="39"/>
      <c r="L61" s="102">
        <f>+J61/I61*100</f>
        <v>77.74425580630813</v>
      </c>
      <c r="N61" s="21"/>
      <c r="O61" s="22"/>
    </row>
    <row r="62" spans="1:15" ht="15">
      <c r="A62" s="38"/>
      <c r="B62" s="38"/>
      <c r="C62" s="25"/>
      <c r="D62" s="73">
        <v>3232</v>
      </c>
      <c r="E62" s="6" t="s">
        <v>102</v>
      </c>
      <c r="F62" s="39">
        <v>0</v>
      </c>
      <c r="G62" s="39">
        <v>0</v>
      </c>
      <c r="H62" s="39">
        <v>100000</v>
      </c>
      <c r="I62" s="10">
        <v>100000</v>
      </c>
      <c r="J62" s="39">
        <v>0</v>
      </c>
      <c r="K62" s="39">
        <v>0</v>
      </c>
      <c r="L62" s="42">
        <f t="shared" si="2"/>
        <v>0</v>
      </c>
      <c r="N62" s="21"/>
      <c r="O62" s="22"/>
    </row>
    <row r="63" spans="1:15" ht="15">
      <c r="A63" s="38"/>
      <c r="B63" s="38"/>
      <c r="C63" s="25"/>
      <c r="D63" s="73">
        <v>3233</v>
      </c>
      <c r="E63" s="6" t="s">
        <v>94</v>
      </c>
      <c r="F63" s="39">
        <v>0</v>
      </c>
      <c r="G63" s="39">
        <v>0</v>
      </c>
      <c r="H63" s="39">
        <v>0</v>
      </c>
      <c r="I63" s="10">
        <v>3565.68</v>
      </c>
      <c r="J63" s="39">
        <v>3565.68</v>
      </c>
      <c r="K63" s="39">
        <v>0</v>
      </c>
      <c r="L63" s="42">
        <f t="shared" si="2"/>
        <v>100</v>
      </c>
      <c r="N63" s="21"/>
      <c r="O63" s="22"/>
    </row>
    <row r="64" spans="1:15" ht="15">
      <c r="A64" s="38"/>
      <c r="B64" s="38"/>
      <c r="C64" s="25"/>
      <c r="D64" s="73">
        <v>3235</v>
      </c>
      <c r="E64" s="6" t="s">
        <v>67</v>
      </c>
      <c r="F64" s="39">
        <v>0</v>
      </c>
      <c r="G64" s="39">
        <v>4000</v>
      </c>
      <c r="H64" s="39">
        <v>0</v>
      </c>
      <c r="I64" s="10">
        <v>0</v>
      </c>
      <c r="J64" s="39">
        <v>0</v>
      </c>
      <c r="K64" s="39">
        <v>0</v>
      </c>
      <c r="L64" s="42">
        <v>0</v>
      </c>
      <c r="N64" s="21"/>
      <c r="O64" s="22"/>
    </row>
    <row r="65" spans="1:15" ht="15">
      <c r="A65" s="38"/>
      <c r="B65" s="38"/>
      <c r="C65" s="25"/>
      <c r="D65" s="73">
        <v>3237</v>
      </c>
      <c r="E65" s="1" t="s">
        <v>72</v>
      </c>
      <c r="F65" s="39">
        <v>6420.33</v>
      </c>
      <c r="G65" s="39">
        <v>20000</v>
      </c>
      <c r="H65" s="39">
        <v>20000</v>
      </c>
      <c r="I65" s="10">
        <v>989194.9</v>
      </c>
      <c r="J65" s="39">
        <v>1094010.38</v>
      </c>
      <c r="K65" s="39">
        <f aca="true" t="shared" si="3" ref="K65:K71">+J65/F65*100</f>
        <v>17039.784247850188</v>
      </c>
      <c r="L65" s="42">
        <f t="shared" si="2"/>
        <v>110.5960392638498</v>
      </c>
      <c r="N65" s="21"/>
      <c r="O65" s="22"/>
    </row>
    <row r="66" spans="1:15" ht="15">
      <c r="A66" s="38"/>
      <c r="B66" s="38"/>
      <c r="C66" s="25"/>
      <c r="D66" s="73">
        <v>3238</v>
      </c>
      <c r="E66" s="1" t="s">
        <v>73</v>
      </c>
      <c r="F66" s="39">
        <v>0</v>
      </c>
      <c r="G66" s="39">
        <v>170000</v>
      </c>
      <c r="H66" s="39">
        <v>0</v>
      </c>
      <c r="I66" s="10">
        <v>0</v>
      </c>
      <c r="J66" s="39">
        <v>0</v>
      </c>
      <c r="K66" s="39">
        <v>0</v>
      </c>
      <c r="L66" s="42">
        <v>0</v>
      </c>
      <c r="N66" s="21"/>
      <c r="O66" s="22"/>
    </row>
    <row r="67" spans="1:15" ht="15">
      <c r="A67" s="38"/>
      <c r="B67" s="38"/>
      <c r="C67" s="25"/>
      <c r="D67" s="6" t="s">
        <v>27</v>
      </c>
      <c r="E67" s="6" t="s">
        <v>58</v>
      </c>
      <c r="F67" s="39">
        <f>1150+7500+2862+21168.75+20643.75</f>
        <v>53324.5</v>
      </c>
      <c r="G67" s="39">
        <v>1048350</v>
      </c>
      <c r="H67" s="39">
        <v>477294.17</v>
      </c>
      <c r="I67" s="10">
        <v>478616.51</v>
      </c>
      <c r="J67" s="39">
        <v>77691.71</v>
      </c>
      <c r="K67" s="39">
        <f t="shared" si="3"/>
        <v>145.69608716443662</v>
      </c>
      <c r="L67" s="42">
        <f t="shared" si="2"/>
        <v>16.232559549606844</v>
      </c>
      <c r="N67" s="21"/>
      <c r="O67" s="22"/>
    </row>
    <row r="68" spans="1:15" ht="15" hidden="1">
      <c r="A68" s="38"/>
      <c r="B68" s="38"/>
      <c r="C68" s="25">
        <v>3</v>
      </c>
      <c r="D68" s="6"/>
      <c r="E68" s="6"/>
      <c r="F68" s="39"/>
      <c r="G68" s="6"/>
      <c r="H68" s="39"/>
      <c r="I68" s="10"/>
      <c r="J68" s="39"/>
      <c r="K68" s="39" t="e">
        <f t="shared" si="3"/>
        <v>#DIV/0!</v>
      </c>
      <c r="L68" s="42" t="e">
        <f t="shared" si="2"/>
        <v>#DIV/0!</v>
      </c>
      <c r="N68" s="21"/>
      <c r="O68" s="22"/>
    </row>
    <row r="69" spans="1:15" ht="19.5" customHeight="1" hidden="1">
      <c r="A69" s="38"/>
      <c r="B69" s="38"/>
      <c r="C69" s="25">
        <v>2</v>
      </c>
      <c r="D69" s="6"/>
      <c r="E69" s="6"/>
      <c r="F69" s="39"/>
      <c r="G69" s="6"/>
      <c r="H69" s="39"/>
      <c r="I69" s="79"/>
      <c r="J69" s="39"/>
      <c r="K69" s="39" t="e">
        <f t="shared" si="3"/>
        <v>#DIV/0!</v>
      </c>
      <c r="L69" s="42" t="e">
        <f t="shared" si="2"/>
        <v>#DIV/0!</v>
      </c>
      <c r="N69" s="23"/>
      <c r="O69" s="24"/>
    </row>
    <row r="70" spans="1:15" ht="19.5" customHeight="1">
      <c r="A70" s="38"/>
      <c r="B70" s="38"/>
      <c r="C70" s="25"/>
      <c r="D70" s="99">
        <v>323</v>
      </c>
      <c r="E70" s="99" t="s">
        <v>163</v>
      </c>
      <c r="F70" s="39"/>
      <c r="G70" s="6"/>
      <c r="H70" s="39"/>
      <c r="I70" s="108">
        <f>SUM(I62:I69)</f>
        <v>1571377.09</v>
      </c>
      <c r="J70" s="108">
        <f>SUM(J62:J69)</f>
        <v>1175267.7699999998</v>
      </c>
      <c r="K70" s="39"/>
      <c r="L70" s="102">
        <f>+J70/I70*100</f>
        <v>74.79221744285451</v>
      </c>
      <c r="N70" s="23"/>
      <c r="O70" s="24"/>
    </row>
    <row r="71" spans="1:15" ht="15.75" customHeight="1">
      <c r="A71" s="38"/>
      <c r="B71" s="38"/>
      <c r="C71" s="25"/>
      <c r="D71" s="73">
        <v>4221</v>
      </c>
      <c r="E71" s="6" t="s">
        <v>90</v>
      </c>
      <c r="F71" s="39">
        <v>1139875</v>
      </c>
      <c r="G71" s="39">
        <v>706500</v>
      </c>
      <c r="H71" s="39">
        <v>2448762.5</v>
      </c>
      <c r="I71" s="79">
        <v>2448762.5</v>
      </c>
      <c r="J71" s="39">
        <v>907065.08</v>
      </c>
      <c r="K71" s="39">
        <f t="shared" si="3"/>
        <v>79.57583770150235</v>
      </c>
      <c r="L71" s="42">
        <f t="shared" si="2"/>
        <v>37.04177436562345</v>
      </c>
      <c r="N71" s="23"/>
      <c r="O71" s="24"/>
    </row>
    <row r="72" spans="1:15" ht="15.75" customHeight="1">
      <c r="A72" s="38"/>
      <c r="B72" s="38"/>
      <c r="C72" s="25"/>
      <c r="D72" s="101">
        <v>422</v>
      </c>
      <c r="E72" s="99" t="s">
        <v>165</v>
      </c>
      <c r="F72" s="39"/>
      <c r="G72" s="39"/>
      <c r="H72" s="39"/>
      <c r="I72" s="108">
        <f>SUM(I71)</f>
        <v>2448762.5</v>
      </c>
      <c r="J72" s="108">
        <f>SUM(J71)</f>
        <v>907065.08</v>
      </c>
      <c r="K72" s="39"/>
      <c r="L72" s="102">
        <f>+J72/I72*100</f>
        <v>37.04177436562345</v>
      </c>
      <c r="N72" s="23"/>
      <c r="O72" s="24"/>
    </row>
    <row r="73" spans="1:15" ht="15.75" customHeight="1">
      <c r="A73" s="38"/>
      <c r="B73" s="38"/>
      <c r="C73" s="25"/>
      <c r="D73" s="73">
        <v>45111</v>
      </c>
      <c r="E73" s="6" t="s">
        <v>101</v>
      </c>
      <c r="F73" s="39">
        <v>0</v>
      </c>
      <c r="G73" s="39">
        <v>0</v>
      </c>
      <c r="H73" s="39">
        <v>523852</v>
      </c>
      <c r="I73" s="79">
        <v>530987.3</v>
      </c>
      <c r="J73" s="39">
        <v>0</v>
      </c>
      <c r="K73" s="39">
        <v>0</v>
      </c>
      <c r="L73" s="42">
        <f t="shared" si="2"/>
        <v>0</v>
      </c>
      <c r="N73" s="23"/>
      <c r="O73" s="24"/>
    </row>
    <row r="74" spans="1:15" ht="15.75" customHeight="1">
      <c r="A74" s="38"/>
      <c r="B74" s="38"/>
      <c r="C74" s="25"/>
      <c r="D74" s="99">
        <v>451</v>
      </c>
      <c r="E74" s="99" t="s">
        <v>101</v>
      </c>
      <c r="F74" s="39"/>
      <c r="G74" s="39"/>
      <c r="H74" s="39"/>
      <c r="I74" s="108">
        <f>SUM(I73)</f>
        <v>530987.3</v>
      </c>
      <c r="J74" s="108">
        <f>SUM(J73)</f>
        <v>0</v>
      </c>
      <c r="K74" s="39"/>
      <c r="L74" s="102">
        <f>+J74/I74*100</f>
        <v>0</v>
      </c>
      <c r="N74" s="23"/>
      <c r="O74" s="24"/>
    </row>
    <row r="75" spans="1:15" ht="23.25" customHeight="1">
      <c r="A75" s="38"/>
      <c r="B75" s="7" t="s">
        <v>155</v>
      </c>
      <c r="C75" s="7" t="s">
        <v>96</v>
      </c>
      <c r="D75" s="49"/>
      <c r="E75" s="49"/>
      <c r="F75" s="51">
        <f>SUM(F77)</f>
        <v>26092087.16</v>
      </c>
      <c r="G75" s="51">
        <f>SUM(G77)</f>
        <v>26776011</v>
      </c>
      <c r="H75" s="51">
        <f>SUM(H77)</f>
        <v>28143761</v>
      </c>
      <c r="I75" s="51">
        <f>SUM(I77)</f>
        <v>28743761</v>
      </c>
      <c r="J75" s="51">
        <f>SUM(J77)</f>
        <v>28201378.699999996</v>
      </c>
      <c r="K75" s="51">
        <f>+J75/F75*100</f>
        <v>108.08402764817376</v>
      </c>
      <c r="L75" s="51">
        <f aca="true" t="shared" si="4" ref="L75:L106">J75/I75*100</f>
        <v>98.11304338357112</v>
      </c>
      <c r="M75" s="40"/>
      <c r="N75" s="19"/>
      <c r="O75" s="20"/>
    </row>
    <row r="76" spans="1:15" ht="30" customHeight="1" hidden="1">
      <c r="A76" s="38"/>
      <c r="B76" s="7"/>
      <c r="C76" s="7"/>
      <c r="D76" s="49"/>
      <c r="E76" s="49"/>
      <c r="F76" s="42"/>
      <c r="G76" s="50"/>
      <c r="H76" s="50"/>
      <c r="I76" s="51"/>
      <c r="J76" s="42"/>
      <c r="K76" s="72" t="e">
        <f>J76/#REF!*100</f>
        <v>#REF!</v>
      </c>
      <c r="L76" s="42" t="e">
        <f t="shared" si="4"/>
        <v>#DIV/0!</v>
      </c>
      <c r="N76" s="13"/>
      <c r="O76" s="14"/>
    </row>
    <row r="77" spans="1:15" ht="15">
      <c r="A77" s="38"/>
      <c r="B77" s="38"/>
      <c r="C77" s="87" t="s">
        <v>1</v>
      </c>
      <c r="D77" s="44" t="s">
        <v>68</v>
      </c>
      <c r="E77" s="44"/>
      <c r="F77" s="72">
        <f>SUM(F79:F115)</f>
        <v>26092087.16</v>
      </c>
      <c r="G77" s="72">
        <f>SUM(G79:G115)</f>
        <v>26776011</v>
      </c>
      <c r="H77" s="72">
        <f>SUM(H79:H118)</f>
        <v>28143761</v>
      </c>
      <c r="I77" s="72">
        <f>+I82+I84+I87+I91+I97+I107+I114+I119</f>
        <v>28743761</v>
      </c>
      <c r="J77" s="72">
        <f>+J82+J84+J87+J91+J97+J107+J114+J119</f>
        <v>28201378.699999996</v>
      </c>
      <c r="K77" s="72">
        <f>+J77/F77*100</f>
        <v>108.08402764817376</v>
      </c>
      <c r="L77" s="72">
        <f t="shared" si="4"/>
        <v>98.11304338357112</v>
      </c>
      <c r="M77" s="75"/>
      <c r="N77" s="21"/>
      <c r="O77" s="22"/>
    </row>
    <row r="78" spans="1:15" ht="15" hidden="1">
      <c r="A78" s="38"/>
      <c r="B78" s="38"/>
      <c r="C78" s="1"/>
      <c r="D78" s="1"/>
      <c r="E78" s="1"/>
      <c r="F78" s="42"/>
      <c r="G78" s="42"/>
      <c r="H78" s="42"/>
      <c r="I78" s="52"/>
      <c r="J78" s="42"/>
      <c r="K78" s="72" t="e">
        <f>J78/#REF!*100</f>
        <v>#REF!</v>
      </c>
      <c r="L78" s="72" t="e">
        <f t="shared" si="4"/>
        <v>#DIV/0!</v>
      </c>
      <c r="N78" s="21"/>
      <c r="O78" s="22"/>
    </row>
    <row r="79" spans="1:15" ht="15">
      <c r="A79" s="38"/>
      <c r="B79" s="38"/>
      <c r="C79" s="1"/>
      <c r="D79" s="1" t="s">
        <v>5</v>
      </c>
      <c r="E79" s="1" t="s">
        <v>81</v>
      </c>
      <c r="F79" s="42">
        <v>18192864.13</v>
      </c>
      <c r="G79" s="42">
        <v>18585809</v>
      </c>
      <c r="H79" s="42">
        <v>18956509</v>
      </c>
      <c r="I79" s="52">
        <v>18916509</v>
      </c>
      <c r="J79" s="42">
        <v>18822464.82</v>
      </c>
      <c r="K79" s="42">
        <f>+J79/F79*100</f>
        <v>103.46070132498704</v>
      </c>
      <c r="L79" s="42">
        <f t="shared" si="4"/>
        <v>99.50284600609976</v>
      </c>
      <c r="N79" s="21"/>
      <c r="O79" s="22"/>
    </row>
    <row r="80" spans="1:15" ht="15">
      <c r="A80" s="38"/>
      <c r="B80" s="38"/>
      <c r="C80" s="1"/>
      <c r="D80" s="1" t="s">
        <v>7</v>
      </c>
      <c r="E80" s="1" t="s">
        <v>87</v>
      </c>
      <c r="F80" s="42">
        <v>101516.77</v>
      </c>
      <c r="G80" s="42">
        <v>70000</v>
      </c>
      <c r="H80" s="42">
        <v>70000</v>
      </c>
      <c r="I80" s="52">
        <v>150000</v>
      </c>
      <c r="J80" s="42">
        <v>111505.09</v>
      </c>
      <c r="K80" s="42">
        <f aca="true" t="shared" si="5" ref="K80:K117">+J80/F80*100</f>
        <v>109.83908372971283</v>
      </c>
      <c r="L80" s="42">
        <f t="shared" si="4"/>
        <v>74.33672666666666</v>
      </c>
      <c r="N80" s="21"/>
      <c r="O80" s="22"/>
    </row>
    <row r="81" spans="1:15" ht="15">
      <c r="A81" s="38"/>
      <c r="B81" s="38"/>
      <c r="C81" s="1"/>
      <c r="D81" s="1" t="s">
        <v>8</v>
      </c>
      <c r="E81" s="1" t="s">
        <v>91</v>
      </c>
      <c r="F81" s="42">
        <v>104879.53</v>
      </c>
      <c r="G81" s="42">
        <v>125000</v>
      </c>
      <c r="H81" s="42">
        <v>125000</v>
      </c>
      <c r="I81" s="52">
        <v>125000</v>
      </c>
      <c r="J81" s="42">
        <v>109382.97</v>
      </c>
      <c r="K81" s="42">
        <f t="shared" si="5"/>
        <v>104.29391703032995</v>
      </c>
      <c r="L81" s="42">
        <f t="shared" si="4"/>
        <v>87.506376</v>
      </c>
      <c r="N81" s="21"/>
      <c r="O81" s="22"/>
    </row>
    <row r="82" spans="1:15" ht="15">
      <c r="A82" s="38"/>
      <c r="B82" s="38"/>
      <c r="C82" s="1"/>
      <c r="D82" s="99">
        <v>311</v>
      </c>
      <c r="E82" s="99" t="s">
        <v>168</v>
      </c>
      <c r="F82" s="42"/>
      <c r="G82" s="42"/>
      <c r="H82" s="42"/>
      <c r="I82" s="102">
        <f>SUM(I79:I81)</f>
        <v>19191509</v>
      </c>
      <c r="J82" s="102">
        <f>SUM(J79:J81)</f>
        <v>19043352.88</v>
      </c>
      <c r="K82" s="42"/>
      <c r="L82" s="102">
        <f>+J82/I82*100</f>
        <v>99.22801213807627</v>
      </c>
      <c r="N82" s="21"/>
      <c r="O82" s="22"/>
    </row>
    <row r="83" spans="1:15" ht="15">
      <c r="A83" s="38"/>
      <c r="B83" s="38"/>
      <c r="C83" s="1"/>
      <c r="D83" s="1" t="s">
        <v>9</v>
      </c>
      <c r="E83" s="1" t="s">
        <v>70</v>
      </c>
      <c r="F83" s="42">
        <v>774886.82</v>
      </c>
      <c r="G83" s="42">
        <v>908000</v>
      </c>
      <c r="H83" s="42">
        <v>908000</v>
      </c>
      <c r="I83" s="52">
        <v>868000</v>
      </c>
      <c r="J83" s="42">
        <v>795957.12</v>
      </c>
      <c r="K83" s="42">
        <f t="shared" si="5"/>
        <v>102.71914548759523</v>
      </c>
      <c r="L83" s="42">
        <f t="shared" si="4"/>
        <v>91.70012903225806</v>
      </c>
      <c r="N83" s="21"/>
      <c r="O83" s="22"/>
    </row>
    <row r="84" spans="1:15" ht="15">
      <c r="A84" s="38"/>
      <c r="B84" s="38"/>
      <c r="C84" s="1"/>
      <c r="D84" s="99">
        <v>312</v>
      </c>
      <c r="E84" s="99" t="s">
        <v>70</v>
      </c>
      <c r="F84" s="42"/>
      <c r="G84" s="42"/>
      <c r="H84" s="42"/>
      <c r="I84" s="102">
        <f>SUM(I83)</f>
        <v>868000</v>
      </c>
      <c r="J84" s="102">
        <f>SUM(J83)</f>
        <v>795957.12</v>
      </c>
      <c r="K84" s="42"/>
      <c r="L84" s="102">
        <f>+J84/I84*100</f>
        <v>91.70012903225806</v>
      </c>
      <c r="N84" s="21"/>
      <c r="O84" s="22"/>
    </row>
    <row r="85" spans="1:15" ht="15">
      <c r="A85" s="38"/>
      <c r="B85" s="38"/>
      <c r="C85" s="1"/>
      <c r="D85" s="1" t="s">
        <v>10</v>
      </c>
      <c r="E85" s="1" t="s">
        <v>84</v>
      </c>
      <c r="F85" s="42">
        <v>3038158.66</v>
      </c>
      <c r="G85" s="42">
        <v>3117202</v>
      </c>
      <c r="H85" s="42">
        <v>3174652</v>
      </c>
      <c r="I85" s="52">
        <v>3174652</v>
      </c>
      <c r="J85" s="42">
        <v>3133623.57</v>
      </c>
      <c r="K85" s="42">
        <f t="shared" si="5"/>
        <v>103.14219633282747</v>
      </c>
      <c r="L85" s="42">
        <f t="shared" si="4"/>
        <v>98.70762433173778</v>
      </c>
      <c r="N85" s="21"/>
      <c r="O85" s="22"/>
    </row>
    <row r="86" spans="1:15" ht="15">
      <c r="A86" s="38"/>
      <c r="B86" s="38"/>
      <c r="C86" s="1"/>
      <c r="D86" s="53">
        <v>3133</v>
      </c>
      <c r="E86" s="1" t="s">
        <v>158</v>
      </c>
      <c r="F86" s="42">
        <v>0</v>
      </c>
      <c r="G86" s="42">
        <v>0</v>
      </c>
      <c r="H86" s="42">
        <v>6300</v>
      </c>
      <c r="I86" s="52">
        <v>6300</v>
      </c>
      <c r="J86" s="42">
        <v>2954.69</v>
      </c>
      <c r="K86" s="42">
        <v>0</v>
      </c>
      <c r="L86" s="42">
        <f t="shared" si="4"/>
        <v>46.89984126984127</v>
      </c>
      <c r="N86" s="21"/>
      <c r="O86" s="22"/>
    </row>
    <row r="87" spans="1:15" ht="15">
      <c r="A87" s="38"/>
      <c r="B87" s="38"/>
      <c r="C87" s="1"/>
      <c r="D87" s="101">
        <v>313</v>
      </c>
      <c r="E87" s="99" t="s">
        <v>169</v>
      </c>
      <c r="F87" s="42"/>
      <c r="G87" s="42"/>
      <c r="H87" s="42"/>
      <c r="I87" s="102">
        <f>SUM(I85:I86)</f>
        <v>3180952</v>
      </c>
      <c r="J87" s="102">
        <f>SUM(J85:J86)</f>
        <v>3136578.26</v>
      </c>
      <c r="K87" s="42"/>
      <c r="L87" s="102">
        <f>+J87/I87*100</f>
        <v>98.60501698862478</v>
      </c>
      <c r="N87" s="21"/>
      <c r="O87" s="22"/>
    </row>
    <row r="88" spans="1:15" ht="15">
      <c r="A88" s="38"/>
      <c r="B88" s="38"/>
      <c r="C88" s="1"/>
      <c r="D88" s="53">
        <v>3211</v>
      </c>
      <c r="E88" s="1" t="s">
        <v>77</v>
      </c>
      <c r="F88" s="42">
        <v>7000</v>
      </c>
      <c r="G88" s="42">
        <v>10000</v>
      </c>
      <c r="H88" s="42">
        <v>5000</v>
      </c>
      <c r="I88" s="52">
        <v>5000</v>
      </c>
      <c r="J88" s="42">
        <v>5000</v>
      </c>
      <c r="K88" s="42">
        <f t="shared" si="5"/>
        <v>71.42857142857143</v>
      </c>
      <c r="L88" s="42">
        <f t="shared" si="4"/>
        <v>100</v>
      </c>
      <c r="N88" s="21"/>
      <c r="O88" s="22"/>
    </row>
    <row r="89" spans="1:15" ht="15">
      <c r="A89" s="38"/>
      <c r="B89" s="38"/>
      <c r="C89" s="1"/>
      <c r="D89" s="1" t="s">
        <v>12</v>
      </c>
      <c r="E89" s="1" t="s">
        <v>105</v>
      </c>
      <c r="F89" s="42">
        <v>557981.5</v>
      </c>
      <c r="G89" s="42">
        <v>630000</v>
      </c>
      <c r="H89" s="42">
        <v>585000</v>
      </c>
      <c r="I89" s="52">
        <v>565000</v>
      </c>
      <c r="J89" s="42">
        <v>561934.45</v>
      </c>
      <c r="K89" s="42">
        <f t="shared" si="5"/>
        <v>100.7084374661167</v>
      </c>
      <c r="L89" s="42">
        <f t="shared" si="4"/>
        <v>99.45742477876105</v>
      </c>
      <c r="N89" s="21"/>
      <c r="O89" s="22"/>
    </row>
    <row r="90" spans="1:15" ht="15">
      <c r="A90" s="38"/>
      <c r="B90" s="38"/>
      <c r="C90" s="1"/>
      <c r="D90" s="1" t="s">
        <v>13</v>
      </c>
      <c r="E90" s="1" t="s">
        <v>95</v>
      </c>
      <c r="F90" s="42">
        <v>10000</v>
      </c>
      <c r="G90" s="42">
        <v>15000</v>
      </c>
      <c r="H90" s="42">
        <v>13000</v>
      </c>
      <c r="I90" s="52">
        <v>19000</v>
      </c>
      <c r="J90" s="42">
        <v>19000</v>
      </c>
      <c r="K90" s="42">
        <f t="shared" si="5"/>
        <v>190</v>
      </c>
      <c r="L90" s="42">
        <f t="shared" si="4"/>
        <v>100</v>
      </c>
      <c r="N90" s="21"/>
      <c r="O90" s="22"/>
    </row>
    <row r="91" spans="1:15" ht="15">
      <c r="A91" s="38"/>
      <c r="B91" s="38"/>
      <c r="C91" s="1"/>
      <c r="D91" s="99">
        <v>321</v>
      </c>
      <c r="E91" s="99" t="s">
        <v>161</v>
      </c>
      <c r="F91" s="42"/>
      <c r="G91" s="42"/>
      <c r="H91" s="42"/>
      <c r="I91" s="102">
        <f>SUM(I88:I90)</f>
        <v>589000</v>
      </c>
      <c r="J91" s="102">
        <f>SUM(J88:J90)</f>
        <v>585934.45</v>
      </c>
      <c r="K91" s="42"/>
      <c r="L91" s="102">
        <f>+J91/I91*100</f>
        <v>99.47953310696094</v>
      </c>
      <c r="N91" s="21"/>
      <c r="O91" s="22"/>
    </row>
    <row r="92" spans="1:15" ht="15">
      <c r="A92" s="38"/>
      <c r="B92" s="38"/>
      <c r="C92" s="1"/>
      <c r="D92" s="1" t="s">
        <v>14</v>
      </c>
      <c r="E92" s="1" t="s">
        <v>86</v>
      </c>
      <c r="F92" s="42">
        <v>125000</v>
      </c>
      <c r="G92" s="42">
        <v>130000</v>
      </c>
      <c r="H92" s="42">
        <v>120000</v>
      </c>
      <c r="I92" s="52">
        <v>120000</v>
      </c>
      <c r="J92" s="42">
        <v>120000</v>
      </c>
      <c r="K92" s="42">
        <f t="shared" si="5"/>
        <v>96</v>
      </c>
      <c r="L92" s="42">
        <f t="shared" si="4"/>
        <v>100</v>
      </c>
      <c r="N92" s="21"/>
      <c r="O92" s="22"/>
    </row>
    <row r="93" spans="1:15" ht="15">
      <c r="A93" s="38"/>
      <c r="B93" s="38"/>
      <c r="C93" s="1"/>
      <c r="D93" s="1" t="s">
        <v>15</v>
      </c>
      <c r="E93" s="1" t="s">
        <v>55</v>
      </c>
      <c r="F93" s="42">
        <v>1088801.73</v>
      </c>
      <c r="G93" s="42">
        <v>1100000</v>
      </c>
      <c r="H93" s="42">
        <v>1800000</v>
      </c>
      <c r="I93" s="52">
        <v>2400000</v>
      </c>
      <c r="J93" s="42">
        <f>2299586.8-10709.46-75453.95-9361.84-3348.75-9450.75-2141.15</f>
        <v>2189120.9</v>
      </c>
      <c r="K93" s="42">
        <f t="shared" si="5"/>
        <v>201.05780875274695</v>
      </c>
      <c r="L93" s="42">
        <f t="shared" si="4"/>
        <v>91.21337083333333</v>
      </c>
      <c r="N93" s="21"/>
      <c r="O93" s="22"/>
    </row>
    <row r="94" spans="1:15" ht="15">
      <c r="A94" s="38"/>
      <c r="B94" s="38"/>
      <c r="C94" s="1"/>
      <c r="D94" s="1" t="s">
        <v>16</v>
      </c>
      <c r="E94" s="1" t="s">
        <v>107</v>
      </c>
      <c r="F94" s="42">
        <v>55000</v>
      </c>
      <c r="G94" s="42">
        <v>30000</v>
      </c>
      <c r="H94" s="42">
        <v>30000</v>
      </c>
      <c r="I94" s="52">
        <v>32000</v>
      </c>
      <c r="J94" s="42">
        <v>32000</v>
      </c>
      <c r="K94" s="42">
        <f t="shared" si="5"/>
        <v>58.18181818181818</v>
      </c>
      <c r="L94" s="42">
        <f t="shared" si="4"/>
        <v>100</v>
      </c>
      <c r="N94" s="21"/>
      <c r="O94" s="22"/>
    </row>
    <row r="95" spans="1:15" ht="15">
      <c r="A95" s="38"/>
      <c r="B95" s="38"/>
      <c r="C95" s="1"/>
      <c r="D95" s="1" t="s">
        <v>17</v>
      </c>
      <c r="E95" s="1" t="s">
        <v>69</v>
      </c>
      <c r="F95" s="42">
        <v>95750</v>
      </c>
      <c r="G95" s="42">
        <v>55000</v>
      </c>
      <c r="H95" s="42">
        <v>47000</v>
      </c>
      <c r="I95" s="52">
        <v>47000</v>
      </c>
      <c r="J95" s="42">
        <v>47000</v>
      </c>
      <c r="K95" s="42">
        <f t="shared" si="5"/>
        <v>49.08616187989556</v>
      </c>
      <c r="L95" s="42">
        <f t="shared" si="4"/>
        <v>100</v>
      </c>
      <c r="N95" s="21"/>
      <c r="O95" s="22"/>
    </row>
    <row r="96" spans="1:15" ht="15">
      <c r="A96" s="38"/>
      <c r="B96" s="38"/>
      <c r="C96" s="1"/>
      <c r="D96" s="53">
        <v>3227</v>
      </c>
      <c r="E96" s="1" t="s">
        <v>100</v>
      </c>
      <c r="F96" s="42">
        <v>10000</v>
      </c>
      <c r="G96" s="42">
        <v>20000</v>
      </c>
      <c r="H96" s="42">
        <v>5000</v>
      </c>
      <c r="I96" s="52">
        <v>5000</v>
      </c>
      <c r="J96" s="42">
        <v>5000</v>
      </c>
      <c r="K96" s="42">
        <f t="shared" si="5"/>
        <v>50</v>
      </c>
      <c r="L96" s="42">
        <f t="shared" si="4"/>
        <v>100</v>
      </c>
      <c r="N96" s="21"/>
      <c r="O96" s="22"/>
    </row>
    <row r="97" spans="1:15" ht="15">
      <c r="A97" s="38"/>
      <c r="B97" s="38"/>
      <c r="C97" s="1"/>
      <c r="D97" s="101">
        <v>322</v>
      </c>
      <c r="E97" s="99" t="s">
        <v>162</v>
      </c>
      <c r="F97" s="42"/>
      <c r="G97" s="42"/>
      <c r="H97" s="42"/>
      <c r="I97" s="102">
        <f>SUM(I92:I96)</f>
        <v>2604000</v>
      </c>
      <c r="J97" s="102">
        <f>SUM(J92:J96)</f>
        <v>2393120.9</v>
      </c>
      <c r="K97" s="42"/>
      <c r="L97" s="102">
        <f>+J97/I97*100</f>
        <v>91.9017242703533</v>
      </c>
      <c r="N97" s="21"/>
      <c r="O97" s="22"/>
    </row>
    <row r="98" spans="1:15" ht="15">
      <c r="A98" s="38"/>
      <c r="B98" s="38"/>
      <c r="C98" s="1"/>
      <c r="D98" s="1" t="s">
        <v>19</v>
      </c>
      <c r="E98" s="1" t="s">
        <v>98</v>
      </c>
      <c r="F98" s="42">
        <v>169973.65</v>
      </c>
      <c r="G98" s="42">
        <v>200000</v>
      </c>
      <c r="H98" s="42">
        <v>190000</v>
      </c>
      <c r="I98" s="52">
        <v>170000</v>
      </c>
      <c r="J98" s="42">
        <f>158150.27-2190.35-627.93-64.72-10617</f>
        <v>144650.27</v>
      </c>
      <c r="K98" s="42">
        <f t="shared" si="5"/>
        <v>85.10158486330087</v>
      </c>
      <c r="L98" s="42">
        <f t="shared" si="4"/>
        <v>85.08839411764704</v>
      </c>
      <c r="N98" s="21"/>
      <c r="O98" s="22"/>
    </row>
    <row r="99" spans="1:15" ht="15">
      <c r="A99" s="38"/>
      <c r="B99" s="38"/>
      <c r="C99" s="1"/>
      <c r="D99" s="1" t="s">
        <v>20</v>
      </c>
      <c r="E99" s="1" t="s">
        <v>102</v>
      </c>
      <c r="F99" s="42">
        <v>491035.45</v>
      </c>
      <c r="G99" s="42">
        <v>550000</v>
      </c>
      <c r="H99" s="42">
        <v>558000</v>
      </c>
      <c r="I99" s="52">
        <v>727778</v>
      </c>
      <c r="J99" s="42">
        <v>727778</v>
      </c>
      <c r="K99" s="42">
        <f t="shared" si="5"/>
        <v>148.2129243418169</v>
      </c>
      <c r="L99" s="42">
        <f t="shared" si="4"/>
        <v>100</v>
      </c>
      <c r="N99" s="21"/>
      <c r="O99" s="22"/>
    </row>
    <row r="100" spans="1:15" ht="15">
      <c r="A100" s="38"/>
      <c r="B100" s="38"/>
      <c r="C100" s="1"/>
      <c r="D100" s="1" t="s">
        <v>21</v>
      </c>
      <c r="E100" s="1" t="s">
        <v>94</v>
      </c>
      <c r="F100" s="42">
        <v>25000</v>
      </c>
      <c r="G100" s="42">
        <v>23000</v>
      </c>
      <c r="H100" s="42">
        <v>23000</v>
      </c>
      <c r="I100" s="52">
        <v>27000</v>
      </c>
      <c r="J100" s="42">
        <v>26410.5</v>
      </c>
      <c r="K100" s="42">
        <f t="shared" si="5"/>
        <v>105.642</v>
      </c>
      <c r="L100" s="42">
        <f t="shared" si="4"/>
        <v>97.81666666666666</v>
      </c>
      <c r="N100" s="21"/>
      <c r="O100" s="22"/>
    </row>
    <row r="101" spans="1:15" ht="15">
      <c r="A101" s="38"/>
      <c r="B101" s="38"/>
      <c r="C101" s="1"/>
      <c r="D101" s="1" t="s">
        <v>22</v>
      </c>
      <c r="E101" s="1" t="s">
        <v>62</v>
      </c>
      <c r="F101" s="42">
        <v>306288.91</v>
      </c>
      <c r="G101" s="42">
        <v>300000</v>
      </c>
      <c r="H101" s="42">
        <v>305000</v>
      </c>
      <c r="I101" s="52">
        <v>345000</v>
      </c>
      <c r="J101" s="42">
        <f>345000-867.39-1696.41-5987.87</f>
        <v>336448.33</v>
      </c>
      <c r="K101" s="42">
        <f t="shared" si="5"/>
        <v>109.84672282127357</v>
      </c>
      <c r="L101" s="42">
        <f t="shared" si="4"/>
        <v>97.52125507246377</v>
      </c>
      <c r="N101" s="21"/>
      <c r="O101" s="22"/>
    </row>
    <row r="102" spans="1:15" ht="15">
      <c r="A102" s="38"/>
      <c r="B102" s="38"/>
      <c r="C102" s="1"/>
      <c r="D102" s="1" t="s">
        <v>23</v>
      </c>
      <c r="E102" s="1" t="s">
        <v>67</v>
      </c>
      <c r="F102" s="42">
        <v>66250</v>
      </c>
      <c r="G102" s="42">
        <v>80000</v>
      </c>
      <c r="H102" s="42">
        <v>120000</v>
      </c>
      <c r="I102" s="52">
        <v>90222</v>
      </c>
      <c r="J102" s="42">
        <v>90221.82</v>
      </c>
      <c r="K102" s="42">
        <f t="shared" si="5"/>
        <v>136.18387924528304</v>
      </c>
      <c r="L102" s="42">
        <f t="shared" si="4"/>
        <v>99.99980049211945</v>
      </c>
      <c r="N102" s="21"/>
      <c r="O102" s="22"/>
    </row>
    <row r="103" spans="1:15" ht="15">
      <c r="A103" s="38"/>
      <c r="B103" s="38"/>
      <c r="C103" s="1"/>
      <c r="D103" s="53">
        <v>3236</v>
      </c>
      <c r="E103" s="1" t="s">
        <v>74</v>
      </c>
      <c r="F103" s="42">
        <v>75000</v>
      </c>
      <c r="G103" s="42">
        <v>10000</v>
      </c>
      <c r="H103" s="42">
        <v>28000</v>
      </c>
      <c r="I103" s="52">
        <v>28000</v>
      </c>
      <c r="J103" s="42">
        <v>25886.2</v>
      </c>
      <c r="K103" s="42">
        <f t="shared" si="5"/>
        <v>34.51493333333334</v>
      </c>
      <c r="L103" s="42">
        <f t="shared" si="4"/>
        <v>92.45071428571428</v>
      </c>
      <c r="N103" s="21"/>
      <c r="O103" s="22"/>
    </row>
    <row r="104" spans="1:15" ht="15">
      <c r="A104" s="38"/>
      <c r="B104" s="38"/>
      <c r="C104" s="1"/>
      <c r="D104" s="1" t="s">
        <v>25</v>
      </c>
      <c r="E104" s="1" t="s">
        <v>72</v>
      </c>
      <c r="F104" s="42">
        <v>70000</v>
      </c>
      <c r="G104" s="42">
        <v>60000</v>
      </c>
      <c r="H104" s="42">
        <v>60000</v>
      </c>
      <c r="I104" s="52">
        <v>80000</v>
      </c>
      <c r="J104" s="42">
        <v>80000</v>
      </c>
      <c r="K104" s="42">
        <f t="shared" si="5"/>
        <v>114.28571428571428</v>
      </c>
      <c r="L104" s="42">
        <f t="shared" si="4"/>
        <v>100</v>
      </c>
      <c r="N104" s="21"/>
      <c r="O104" s="22"/>
    </row>
    <row r="105" spans="1:15" ht="15">
      <c r="A105" s="38"/>
      <c r="B105" s="38"/>
      <c r="C105" s="1"/>
      <c r="D105" s="1" t="s">
        <v>26</v>
      </c>
      <c r="E105" s="1" t="s">
        <v>73</v>
      </c>
      <c r="F105" s="42">
        <v>123000</v>
      </c>
      <c r="G105" s="42">
        <v>80000</v>
      </c>
      <c r="H105" s="42">
        <v>130000</v>
      </c>
      <c r="I105" s="52">
        <v>130000</v>
      </c>
      <c r="J105" s="42">
        <v>130000</v>
      </c>
      <c r="K105" s="42">
        <f t="shared" si="5"/>
        <v>105.6910569105691</v>
      </c>
      <c r="L105" s="42">
        <f t="shared" si="4"/>
        <v>100</v>
      </c>
      <c r="N105" s="21"/>
      <c r="O105" s="22"/>
    </row>
    <row r="106" spans="1:15" ht="15">
      <c r="A106" s="38"/>
      <c r="B106" s="38"/>
      <c r="C106" s="1"/>
      <c r="D106" s="1" t="s">
        <v>27</v>
      </c>
      <c r="E106" s="1" t="s">
        <v>58</v>
      </c>
      <c r="F106" s="42">
        <v>430887.5</v>
      </c>
      <c r="G106" s="42">
        <v>470000</v>
      </c>
      <c r="H106" s="42">
        <v>470000</v>
      </c>
      <c r="I106" s="52">
        <v>440000</v>
      </c>
      <c r="J106" s="42">
        <v>434781.33</v>
      </c>
      <c r="K106" s="42">
        <f t="shared" si="5"/>
        <v>100.9036767137594</v>
      </c>
      <c r="L106" s="42">
        <f t="shared" si="4"/>
        <v>98.81393863636364</v>
      </c>
      <c r="N106" s="21"/>
      <c r="O106" s="22"/>
    </row>
    <row r="107" spans="1:15" ht="15">
      <c r="A107" s="38"/>
      <c r="B107" s="38"/>
      <c r="C107" s="1"/>
      <c r="D107" s="99">
        <v>323</v>
      </c>
      <c r="E107" s="99" t="s">
        <v>163</v>
      </c>
      <c r="F107" s="42"/>
      <c r="G107" s="42"/>
      <c r="H107" s="42"/>
      <c r="I107" s="102">
        <f>SUM(I98:I106)</f>
        <v>2038000</v>
      </c>
      <c r="J107" s="102">
        <f>SUM(J98:J106)</f>
        <v>1996176.4500000002</v>
      </c>
      <c r="K107" s="42"/>
      <c r="L107" s="102">
        <f>+J107/I107*100</f>
        <v>97.94781403336606</v>
      </c>
      <c r="N107" s="21"/>
      <c r="O107" s="22"/>
    </row>
    <row r="108" spans="1:15" ht="15">
      <c r="A108" s="38"/>
      <c r="B108" s="38"/>
      <c r="C108" s="1"/>
      <c r="D108" s="53">
        <v>3291</v>
      </c>
      <c r="E108" s="1" t="s">
        <v>114</v>
      </c>
      <c r="F108" s="42">
        <v>0</v>
      </c>
      <c r="G108" s="42">
        <v>10000</v>
      </c>
      <c r="H108" s="42">
        <v>0</v>
      </c>
      <c r="I108" s="52">
        <v>0</v>
      </c>
      <c r="J108" s="42">
        <v>0</v>
      </c>
      <c r="K108" s="42">
        <v>0</v>
      </c>
      <c r="L108" s="42">
        <v>0</v>
      </c>
      <c r="N108" s="21"/>
      <c r="O108" s="22"/>
    </row>
    <row r="109" spans="1:15" ht="15">
      <c r="A109" s="38"/>
      <c r="B109" s="38"/>
      <c r="C109" s="1"/>
      <c r="D109" s="1" t="s">
        <v>29</v>
      </c>
      <c r="E109" s="1" t="s">
        <v>64</v>
      </c>
      <c r="F109" s="42">
        <v>32000</v>
      </c>
      <c r="G109" s="42">
        <v>32000</v>
      </c>
      <c r="H109" s="42">
        <v>32000</v>
      </c>
      <c r="I109" s="52">
        <v>28000</v>
      </c>
      <c r="J109" s="42">
        <v>27684.29</v>
      </c>
      <c r="K109" s="42">
        <f t="shared" si="5"/>
        <v>86.51340625</v>
      </c>
      <c r="L109" s="42">
        <f aca="true" t="shared" si="6" ref="L109:L121">J109/I109*100</f>
        <v>98.87246428571429</v>
      </c>
      <c r="N109" s="21"/>
      <c r="O109" s="22"/>
    </row>
    <row r="110" spans="1:15" ht="15">
      <c r="A110" s="38"/>
      <c r="B110" s="38"/>
      <c r="C110" s="1"/>
      <c r="D110" s="1" t="s">
        <v>31</v>
      </c>
      <c r="E110" s="1" t="s">
        <v>75</v>
      </c>
      <c r="F110" s="42">
        <v>70000</v>
      </c>
      <c r="G110" s="42">
        <v>85000</v>
      </c>
      <c r="H110" s="42">
        <v>70000</v>
      </c>
      <c r="I110" s="52">
        <v>67000</v>
      </c>
      <c r="J110" s="42">
        <v>67000</v>
      </c>
      <c r="K110" s="42">
        <f t="shared" si="5"/>
        <v>95.71428571428572</v>
      </c>
      <c r="L110" s="42">
        <f t="shared" si="6"/>
        <v>100</v>
      </c>
      <c r="N110" s="21"/>
      <c r="O110" s="22"/>
    </row>
    <row r="111" spans="1:15" ht="15">
      <c r="A111" s="38"/>
      <c r="B111" s="38"/>
      <c r="C111" s="1"/>
      <c r="D111" s="1" t="s">
        <v>32</v>
      </c>
      <c r="E111" s="1" t="s">
        <v>65</v>
      </c>
      <c r="F111" s="42">
        <v>50812.51</v>
      </c>
      <c r="G111" s="42">
        <v>52000</v>
      </c>
      <c r="H111" s="42">
        <v>55000</v>
      </c>
      <c r="I111" s="52">
        <v>64000</v>
      </c>
      <c r="J111" s="42">
        <v>60807.5</v>
      </c>
      <c r="K111" s="42">
        <f t="shared" si="5"/>
        <v>119.67033315220996</v>
      </c>
      <c r="L111" s="42">
        <f t="shared" si="6"/>
        <v>95.01171875</v>
      </c>
      <c r="N111" s="21"/>
      <c r="O111" s="22"/>
    </row>
    <row r="112" spans="1:15" ht="15">
      <c r="A112" s="38"/>
      <c r="B112" s="38"/>
      <c r="C112" s="1"/>
      <c r="D112" s="53">
        <v>3296</v>
      </c>
      <c r="E112" s="1" t="s">
        <v>89</v>
      </c>
      <c r="F112" s="42">
        <v>0</v>
      </c>
      <c r="G112" s="42">
        <v>0</v>
      </c>
      <c r="H112" s="42">
        <v>81250</v>
      </c>
      <c r="I112" s="52">
        <v>46250</v>
      </c>
      <c r="J112" s="42">
        <v>41081.25</v>
      </c>
      <c r="K112" s="42">
        <v>0</v>
      </c>
      <c r="L112" s="42">
        <f t="shared" si="6"/>
        <v>88.82432432432432</v>
      </c>
      <c r="N112" s="21"/>
      <c r="O112" s="22"/>
    </row>
    <row r="113" spans="1:15" ht="15">
      <c r="A113" s="38"/>
      <c r="B113" s="38"/>
      <c r="C113" s="1"/>
      <c r="D113" s="1" t="s">
        <v>34</v>
      </c>
      <c r="E113" s="1" t="s">
        <v>79</v>
      </c>
      <c r="F113" s="42">
        <v>0</v>
      </c>
      <c r="G113" s="42">
        <v>5000</v>
      </c>
      <c r="H113" s="42">
        <v>2000</v>
      </c>
      <c r="I113" s="52">
        <v>2000</v>
      </c>
      <c r="J113" s="42">
        <v>2000</v>
      </c>
      <c r="K113" s="42">
        <v>0</v>
      </c>
      <c r="L113" s="42">
        <f t="shared" si="6"/>
        <v>100</v>
      </c>
      <c r="N113" s="21"/>
      <c r="O113" s="22"/>
    </row>
    <row r="114" spans="1:15" ht="15">
      <c r="A114" s="38"/>
      <c r="B114" s="38"/>
      <c r="C114" s="1"/>
      <c r="D114" s="99">
        <v>329</v>
      </c>
      <c r="E114" s="99" t="s">
        <v>79</v>
      </c>
      <c r="F114" s="42"/>
      <c r="G114" s="42"/>
      <c r="H114" s="42"/>
      <c r="I114" s="102">
        <f>SUM(I108:I113)</f>
        <v>207250</v>
      </c>
      <c r="J114" s="102">
        <f>SUM(J108:J113)</f>
        <v>198573.04</v>
      </c>
      <c r="K114" s="42"/>
      <c r="L114" s="102">
        <f>+J114/I114*100</f>
        <v>95.8132882991556</v>
      </c>
      <c r="N114" s="21"/>
      <c r="O114" s="22"/>
    </row>
    <row r="115" spans="1:15" ht="15">
      <c r="A115" s="38"/>
      <c r="B115" s="38"/>
      <c r="C115" s="1"/>
      <c r="D115" s="1" t="s">
        <v>35</v>
      </c>
      <c r="E115" s="1" t="s">
        <v>83</v>
      </c>
      <c r="F115" s="42">
        <v>20000</v>
      </c>
      <c r="G115" s="42">
        <v>23000</v>
      </c>
      <c r="H115" s="42">
        <v>22000</v>
      </c>
      <c r="I115" s="52">
        <v>25000</v>
      </c>
      <c r="J115" s="42">
        <v>25000</v>
      </c>
      <c r="K115" s="42">
        <f t="shared" si="5"/>
        <v>125</v>
      </c>
      <c r="L115" s="42">
        <f t="shared" si="6"/>
        <v>100</v>
      </c>
      <c r="N115" s="21"/>
      <c r="O115" s="22"/>
    </row>
    <row r="116" spans="1:15" ht="15" hidden="1">
      <c r="A116" s="38"/>
      <c r="B116" s="38"/>
      <c r="C116" s="1">
        <v>3</v>
      </c>
      <c r="D116" s="1"/>
      <c r="E116" s="1"/>
      <c r="F116" s="42"/>
      <c r="G116" s="1"/>
      <c r="H116" s="1"/>
      <c r="I116" s="52"/>
      <c r="J116" s="42"/>
      <c r="K116" s="42" t="e">
        <f t="shared" si="5"/>
        <v>#DIV/0!</v>
      </c>
      <c r="L116" s="42" t="e">
        <f t="shared" si="6"/>
        <v>#DIV/0!</v>
      </c>
      <c r="N116" s="21"/>
      <c r="O116" s="22"/>
    </row>
    <row r="117" spans="1:15" ht="19.5" customHeight="1" hidden="1">
      <c r="A117" s="1"/>
      <c r="B117" s="1"/>
      <c r="C117" s="1">
        <v>2</v>
      </c>
      <c r="D117" s="1"/>
      <c r="E117" s="1"/>
      <c r="F117" s="42"/>
      <c r="G117" s="1"/>
      <c r="H117" s="1"/>
      <c r="I117" s="3"/>
      <c r="J117" s="42"/>
      <c r="K117" s="42" t="e">
        <f t="shared" si="5"/>
        <v>#DIV/0!</v>
      </c>
      <c r="L117" s="42" t="e">
        <f t="shared" si="6"/>
        <v>#DIV/0!</v>
      </c>
      <c r="N117" s="23"/>
      <c r="O117" s="24"/>
    </row>
    <row r="118" spans="1:15" ht="14.25" customHeight="1">
      <c r="A118" s="1"/>
      <c r="B118" s="1"/>
      <c r="C118" s="1"/>
      <c r="D118" s="53">
        <v>3433</v>
      </c>
      <c r="E118" s="1" t="s">
        <v>60</v>
      </c>
      <c r="F118" s="42">
        <v>0</v>
      </c>
      <c r="G118" s="1">
        <v>0</v>
      </c>
      <c r="H118" s="42">
        <v>152050</v>
      </c>
      <c r="I118" s="3">
        <v>40050</v>
      </c>
      <c r="J118" s="42">
        <v>26685.6</v>
      </c>
      <c r="K118" s="42">
        <v>0</v>
      </c>
      <c r="L118" s="42">
        <f t="shared" si="6"/>
        <v>66.6307116104869</v>
      </c>
      <c r="N118" s="23"/>
      <c r="O118" s="24"/>
    </row>
    <row r="119" spans="1:15" ht="14.25" customHeight="1">
      <c r="A119" s="1"/>
      <c r="B119" s="1"/>
      <c r="C119" s="1"/>
      <c r="D119" s="101">
        <v>343</v>
      </c>
      <c r="E119" s="99" t="s">
        <v>170</v>
      </c>
      <c r="F119" s="42"/>
      <c r="G119" s="1"/>
      <c r="H119" s="42"/>
      <c r="I119" s="102">
        <f>SUM(I115:I118)</f>
        <v>65050</v>
      </c>
      <c r="J119" s="102">
        <f>SUM(J115:J118)</f>
        <v>51685.6</v>
      </c>
      <c r="K119" s="42"/>
      <c r="L119" s="102">
        <f>+J119/I119*100</f>
        <v>79.45518831667947</v>
      </c>
      <c r="N119" s="23"/>
      <c r="O119" s="24"/>
    </row>
    <row r="120" spans="1:15" ht="23.25" customHeight="1">
      <c r="A120" s="38"/>
      <c r="B120" s="7" t="s">
        <v>156</v>
      </c>
      <c r="C120" s="7" t="s">
        <v>78</v>
      </c>
      <c r="D120" s="49"/>
      <c r="E120" s="49"/>
      <c r="F120" s="50">
        <f>F122+F191+F205+F208+F213</f>
        <v>1944196.6</v>
      </c>
      <c r="G120" s="50">
        <f>+G122+G191+G205+G208+G213</f>
        <v>3333394</v>
      </c>
      <c r="H120" s="50">
        <f>H122+H191+H208</f>
        <v>4276328.83</v>
      </c>
      <c r="I120" s="50">
        <f>I122+I191+I205+I208+I213</f>
        <v>4296328.83</v>
      </c>
      <c r="J120" s="50">
        <f>J122+J191+J205+J208+J213</f>
        <v>2298025.8899999997</v>
      </c>
      <c r="K120" s="50">
        <f>+J120/F120*100</f>
        <v>118.1992546432804</v>
      </c>
      <c r="L120" s="50">
        <f t="shared" si="6"/>
        <v>53.48812860769784</v>
      </c>
      <c r="N120" s="19"/>
      <c r="O120" s="20"/>
    </row>
    <row r="121" spans="1:15" ht="30" customHeight="1" hidden="1">
      <c r="A121" s="38"/>
      <c r="B121" s="7"/>
      <c r="C121" s="7"/>
      <c r="D121" s="49"/>
      <c r="E121" s="49"/>
      <c r="F121" s="42"/>
      <c r="G121" s="50"/>
      <c r="H121" s="50"/>
      <c r="I121" s="51"/>
      <c r="J121" s="42"/>
      <c r="K121" s="72" t="e">
        <f>J121/#REF!*100</f>
        <v>#REF!</v>
      </c>
      <c r="L121" s="42" t="e">
        <f t="shared" si="6"/>
        <v>#DIV/0!</v>
      </c>
      <c r="N121" s="13"/>
      <c r="O121" s="14"/>
    </row>
    <row r="122" spans="1:15" ht="15">
      <c r="A122" s="38"/>
      <c r="B122" s="38"/>
      <c r="C122" s="87" t="s">
        <v>2</v>
      </c>
      <c r="D122" s="44" t="s">
        <v>63</v>
      </c>
      <c r="E122" s="44"/>
      <c r="F122" s="54">
        <f>SUM(F124:F183)</f>
        <v>1365835.64</v>
      </c>
      <c r="G122" s="72">
        <f>SUM(G124:G183)</f>
        <v>2920000</v>
      </c>
      <c r="H122" s="72">
        <f>SUM(H124:H189)</f>
        <v>3741917.71</v>
      </c>
      <c r="I122" s="54">
        <f>+I126+I128+I133+I139+I149+I151+I159+I164+I166+I168+I170+I172+I178+I180+I182+I188+I190</f>
        <v>3741917.71</v>
      </c>
      <c r="J122" s="54">
        <f>+J126+J128+J133+J139+J149+J151+J159+J164+J166+J168+J170+J172+J178+J180+J182+J188+J190</f>
        <v>1924175.76</v>
      </c>
      <c r="K122" s="72">
        <f>+J122/F122*100</f>
        <v>140.87901235319939</v>
      </c>
      <c r="L122" s="72">
        <f aca="true" t="shared" si="7" ref="L122:L222">J122/I122*100</f>
        <v>51.42218266472781</v>
      </c>
      <c r="N122" s="21"/>
      <c r="O122" s="22"/>
    </row>
    <row r="123" spans="1:15" ht="15" hidden="1">
      <c r="A123" s="38"/>
      <c r="B123" s="38"/>
      <c r="C123" s="1"/>
      <c r="D123" s="1"/>
      <c r="E123" s="1"/>
      <c r="F123" s="55"/>
      <c r="G123" s="42"/>
      <c r="H123" s="42"/>
      <c r="I123" s="52"/>
      <c r="J123" s="55"/>
      <c r="K123" s="72" t="e">
        <f>J123/#REF!*100</f>
        <v>#REF!</v>
      </c>
      <c r="L123" s="42" t="e">
        <f t="shared" si="7"/>
        <v>#DIV/0!</v>
      </c>
      <c r="N123" s="21"/>
      <c r="O123" s="22"/>
    </row>
    <row r="124" spans="1:15" ht="15">
      <c r="A124" s="38"/>
      <c r="B124" s="38"/>
      <c r="C124" s="1"/>
      <c r="D124" s="1" t="s">
        <v>5</v>
      </c>
      <c r="E124" s="1" t="s">
        <v>81</v>
      </c>
      <c r="F124" s="55">
        <v>8576.1</v>
      </c>
      <c r="G124" s="42">
        <v>5000</v>
      </c>
      <c r="H124" s="42">
        <v>5000.71</v>
      </c>
      <c r="I124" s="52">
        <v>5000.71</v>
      </c>
      <c r="J124" s="55">
        <v>6125.72</v>
      </c>
      <c r="K124" s="42">
        <f>+J124/F124*100</f>
        <v>71.4278051795105</v>
      </c>
      <c r="L124" s="42">
        <f t="shared" si="7"/>
        <v>122.49700542522963</v>
      </c>
      <c r="N124" s="21"/>
      <c r="O124" s="22"/>
    </row>
    <row r="125" spans="1:15" ht="15">
      <c r="A125" s="38"/>
      <c r="B125" s="38"/>
      <c r="C125" s="1"/>
      <c r="D125" s="1" t="s">
        <v>6</v>
      </c>
      <c r="E125" s="1" t="s">
        <v>71</v>
      </c>
      <c r="F125" s="55">
        <v>6090.11</v>
      </c>
      <c r="G125" s="42">
        <v>8367</v>
      </c>
      <c r="H125" s="42">
        <v>8367</v>
      </c>
      <c r="I125" s="52">
        <v>8367</v>
      </c>
      <c r="J125" s="55">
        <v>8285.99</v>
      </c>
      <c r="K125" s="42">
        <f aca="true" t="shared" si="8" ref="K125:K203">+J125/F125*100</f>
        <v>136.05649159046388</v>
      </c>
      <c r="L125" s="42">
        <f t="shared" si="7"/>
        <v>99.03179156208915</v>
      </c>
      <c r="M125" s="40"/>
      <c r="N125" s="21"/>
      <c r="O125" s="22"/>
    </row>
    <row r="126" spans="1:15" ht="15">
      <c r="A126" s="38"/>
      <c r="B126" s="38"/>
      <c r="C126" s="1"/>
      <c r="D126" s="99">
        <v>311</v>
      </c>
      <c r="E126" s="99" t="s">
        <v>168</v>
      </c>
      <c r="F126" s="55"/>
      <c r="G126" s="42"/>
      <c r="H126" s="42"/>
      <c r="I126" s="109">
        <f>SUM(I124:I125)</f>
        <v>13367.71</v>
      </c>
      <c r="J126" s="109">
        <f>SUM(J124:J125)</f>
        <v>14411.71</v>
      </c>
      <c r="K126" s="42"/>
      <c r="L126" s="102">
        <f>+J126/I126*100</f>
        <v>107.80986421758104</v>
      </c>
      <c r="M126" s="40"/>
      <c r="N126" s="21"/>
      <c r="O126" s="22"/>
    </row>
    <row r="127" spans="1:15" ht="15">
      <c r="A127" s="38"/>
      <c r="B127" s="38"/>
      <c r="C127" s="1"/>
      <c r="D127" s="53">
        <v>3121</v>
      </c>
      <c r="E127" s="1" t="s">
        <v>70</v>
      </c>
      <c r="F127" s="55">
        <v>224340.37</v>
      </c>
      <c r="G127" s="42">
        <v>170000</v>
      </c>
      <c r="H127" s="42">
        <v>300000</v>
      </c>
      <c r="I127" s="52">
        <v>425000</v>
      </c>
      <c r="J127" s="55">
        <v>466750.73</v>
      </c>
      <c r="K127" s="42">
        <f t="shared" si="8"/>
        <v>208.05472060155736</v>
      </c>
      <c r="L127" s="42">
        <f t="shared" si="7"/>
        <v>109.82370117647058</v>
      </c>
      <c r="N127" s="21"/>
      <c r="O127" s="22"/>
    </row>
    <row r="128" spans="1:15" ht="15">
      <c r="A128" s="38"/>
      <c r="B128" s="38"/>
      <c r="C128" s="1"/>
      <c r="D128" s="99">
        <v>312</v>
      </c>
      <c r="E128" s="99" t="s">
        <v>70</v>
      </c>
      <c r="F128" s="55"/>
      <c r="G128" s="42"/>
      <c r="H128" s="42"/>
      <c r="I128" s="109">
        <f>SUM(I127)</f>
        <v>425000</v>
      </c>
      <c r="J128" s="109">
        <f>SUM(J127)</f>
        <v>466750.73</v>
      </c>
      <c r="K128" s="42"/>
      <c r="L128" s="102">
        <f>+J128/I128*100</f>
        <v>109.82370117647058</v>
      </c>
      <c r="N128" s="21"/>
      <c r="O128" s="22"/>
    </row>
    <row r="129" spans="1:15" ht="15">
      <c r="A129" s="38"/>
      <c r="B129" s="38"/>
      <c r="C129" s="1"/>
      <c r="D129" s="1" t="s">
        <v>11</v>
      </c>
      <c r="E129" s="1" t="s">
        <v>77</v>
      </c>
      <c r="F129" s="55">
        <v>11711.35</v>
      </c>
      <c r="G129" s="42">
        <v>30000</v>
      </c>
      <c r="H129" s="42">
        <v>30000</v>
      </c>
      <c r="I129" s="52">
        <v>30000</v>
      </c>
      <c r="J129" s="55">
        <v>31269.05</v>
      </c>
      <c r="K129" s="42">
        <f t="shared" si="8"/>
        <v>266.99782689442293</v>
      </c>
      <c r="L129" s="42">
        <f t="shared" si="7"/>
        <v>104.23016666666666</v>
      </c>
      <c r="N129" s="21"/>
      <c r="O129" s="22"/>
    </row>
    <row r="130" spans="1:15" ht="15">
      <c r="A130" s="38"/>
      <c r="B130" s="38"/>
      <c r="C130" s="1"/>
      <c r="D130" s="1" t="s">
        <v>12</v>
      </c>
      <c r="E130" s="1" t="s">
        <v>105</v>
      </c>
      <c r="F130" s="55">
        <v>698</v>
      </c>
      <c r="G130" s="42">
        <v>0</v>
      </c>
      <c r="H130" s="42">
        <v>0</v>
      </c>
      <c r="I130" s="52">
        <v>0</v>
      </c>
      <c r="J130" s="55">
        <v>0</v>
      </c>
      <c r="K130" s="42">
        <f t="shared" si="8"/>
        <v>0</v>
      </c>
      <c r="L130" s="42">
        <v>0</v>
      </c>
      <c r="N130" s="21"/>
      <c r="O130" s="22"/>
    </row>
    <row r="131" spans="1:15" ht="15">
      <c r="A131" s="38"/>
      <c r="B131" s="38"/>
      <c r="C131" s="1"/>
      <c r="D131" s="1" t="s">
        <v>13</v>
      </c>
      <c r="E131" s="1" t="s">
        <v>95</v>
      </c>
      <c r="F131" s="55">
        <v>16886.1</v>
      </c>
      <c r="G131" s="42">
        <v>30000</v>
      </c>
      <c r="H131" s="42">
        <v>30000</v>
      </c>
      <c r="I131" s="52">
        <v>30000</v>
      </c>
      <c r="J131" s="55">
        <v>11152.92</v>
      </c>
      <c r="K131" s="42">
        <f t="shared" si="8"/>
        <v>66.04793291523798</v>
      </c>
      <c r="L131" s="42">
        <f t="shared" si="7"/>
        <v>37.1764</v>
      </c>
      <c r="N131" s="21"/>
      <c r="O131" s="22"/>
    </row>
    <row r="132" spans="1:15" ht="15">
      <c r="A132" s="38"/>
      <c r="B132" s="38"/>
      <c r="C132" s="1"/>
      <c r="D132" s="53">
        <v>3214</v>
      </c>
      <c r="E132" s="1" t="s">
        <v>129</v>
      </c>
      <c r="F132" s="55">
        <v>6000</v>
      </c>
      <c r="G132" s="42">
        <v>20000</v>
      </c>
      <c r="H132" s="42">
        <v>20000</v>
      </c>
      <c r="I132" s="52">
        <v>20000</v>
      </c>
      <c r="J132" s="55">
        <v>6000</v>
      </c>
      <c r="K132" s="42">
        <f t="shared" si="8"/>
        <v>100</v>
      </c>
      <c r="L132" s="42">
        <f t="shared" si="7"/>
        <v>30</v>
      </c>
      <c r="N132" s="21"/>
      <c r="O132" s="22"/>
    </row>
    <row r="133" spans="1:15" ht="15">
      <c r="A133" s="38"/>
      <c r="B133" s="38"/>
      <c r="C133" s="1"/>
      <c r="D133" s="99">
        <v>321</v>
      </c>
      <c r="E133" s="99" t="s">
        <v>161</v>
      </c>
      <c r="F133" s="55"/>
      <c r="G133" s="42"/>
      <c r="H133" s="42"/>
      <c r="I133" s="109">
        <f>SUM(I129:I132)</f>
        <v>80000</v>
      </c>
      <c r="J133" s="109">
        <f>SUM(J129:J132)</f>
        <v>48421.97</v>
      </c>
      <c r="K133" s="42"/>
      <c r="L133" s="102">
        <f>+J133/I133*100</f>
        <v>60.527462500000006</v>
      </c>
      <c r="N133" s="21"/>
      <c r="O133" s="22"/>
    </row>
    <row r="134" spans="1:15" ht="15">
      <c r="A134" s="38"/>
      <c r="B134" s="38"/>
      <c r="C134" s="1"/>
      <c r="D134" s="1" t="s">
        <v>14</v>
      </c>
      <c r="E134" s="1" t="s">
        <v>86</v>
      </c>
      <c r="F134" s="55">
        <v>4232.76</v>
      </c>
      <c r="G134" s="42">
        <v>0</v>
      </c>
      <c r="H134" s="42">
        <v>0</v>
      </c>
      <c r="I134" s="52">
        <v>35000</v>
      </c>
      <c r="J134" s="55">
        <v>65321</v>
      </c>
      <c r="K134" s="42">
        <f t="shared" si="8"/>
        <v>1543.2247516986552</v>
      </c>
      <c r="L134" s="42">
        <f t="shared" si="7"/>
        <v>186.6314285714286</v>
      </c>
      <c r="N134" s="21"/>
      <c r="O134" s="22"/>
    </row>
    <row r="135" spans="1:15" ht="15">
      <c r="A135" s="38"/>
      <c r="B135" s="38"/>
      <c r="C135" s="1"/>
      <c r="D135" s="1" t="s">
        <v>15</v>
      </c>
      <c r="E135" s="1" t="s">
        <v>55</v>
      </c>
      <c r="F135" s="55">
        <v>93827.73</v>
      </c>
      <c r="G135" s="42">
        <v>100000</v>
      </c>
      <c r="H135" s="42">
        <v>100000</v>
      </c>
      <c r="I135" s="52">
        <v>100000</v>
      </c>
      <c r="J135" s="55">
        <v>0</v>
      </c>
      <c r="K135" s="42">
        <f t="shared" si="8"/>
        <v>0</v>
      </c>
      <c r="L135" s="42">
        <f t="shared" si="7"/>
        <v>0</v>
      </c>
      <c r="N135" s="21"/>
      <c r="O135" s="22"/>
    </row>
    <row r="136" spans="1:15" ht="15">
      <c r="A136" s="38"/>
      <c r="B136" s="38"/>
      <c r="C136" s="1"/>
      <c r="D136" s="1" t="s">
        <v>16</v>
      </c>
      <c r="E136" s="1" t="s">
        <v>107</v>
      </c>
      <c r="F136" s="55">
        <v>383.08</v>
      </c>
      <c r="G136" s="42">
        <v>0</v>
      </c>
      <c r="H136" s="42">
        <v>0</v>
      </c>
      <c r="I136" s="52">
        <v>0</v>
      </c>
      <c r="J136" s="55">
        <v>15150</v>
      </c>
      <c r="K136" s="42">
        <f t="shared" si="8"/>
        <v>3954.787511746894</v>
      </c>
      <c r="L136" s="42">
        <v>0</v>
      </c>
      <c r="N136" s="21"/>
      <c r="O136" s="22"/>
    </row>
    <row r="137" spans="1:15" ht="15">
      <c r="A137" s="38"/>
      <c r="B137" s="38"/>
      <c r="C137" s="1"/>
      <c r="D137" s="53">
        <v>3225</v>
      </c>
      <c r="E137" s="1" t="s">
        <v>112</v>
      </c>
      <c r="F137" s="55">
        <v>12900.46</v>
      </c>
      <c r="G137" s="42">
        <v>30000</v>
      </c>
      <c r="H137" s="42">
        <v>30000</v>
      </c>
      <c r="I137" s="52">
        <v>30000</v>
      </c>
      <c r="J137" s="55">
        <v>110.42</v>
      </c>
      <c r="K137" s="42">
        <f t="shared" si="8"/>
        <v>0.8559384704111326</v>
      </c>
      <c r="L137" s="42">
        <f t="shared" si="7"/>
        <v>0.36806666666666665</v>
      </c>
      <c r="N137" s="21"/>
      <c r="O137" s="22"/>
    </row>
    <row r="138" spans="1:15" ht="15">
      <c r="A138" s="38"/>
      <c r="B138" s="38"/>
      <c r="C138" s="1"/>
      <c r="D138" s="1" t="s">
        <v>18</v>
      </c>
      <c r="E138" s="1" t="s">
        <v>100</v>
      </c>
      <c r="F138" s="55">
        <v>38.01</v>
      </c>
      <c r="G138" s="42">
        <v>20000</v>
      </c>
      <c r="H138" s="42">
        <v>20000</v>
      </c>
      <c r="I138" s="52">
        <v>20000</v>
      </c>
      <c r="J138" s="55">
        <v>405</v>
      </c>
      <c r="K138" s="42">
        <f t="shared" si="8"/>
        <v>1065.5090765588004</v>
      </c>
      <c r="L138" s="42">
        <f t="shared" si="7"/>
        <v>2.025</v>
      </c>
      <c r="N138" s="21"/>
      <c r="O138" s="22"/>
    </row>
    <row r="139" spans="1:15" ht="15">
      <c r="A139" s="38"/>
      <c r="B139" s="38"/>
      <c r="C139" s="1"/>
      <c r="D139" s="101">
        <v>322</v>
      </c>
      <c r="E139" s="99" t="s">
        <v>162</v>
      </c>
      <c r="F139" s="55"/>
      <c r="G139" s="42"/>
      <c r="H139" s="42"/>
      <c r="I139" s="109">
        <f>SUM(I134:I138)</f>
        <v>185000</v>
      </c>
      <c r="J139" s="109">
        <f>SUM(J134:J138)</f>
        <v>80986.42</v>
      </c>
      <c r="K139" s="42"/>
      <c r="L139" s="102">
        <f>+J139/I139*100</f>
        <v>43.77644324324324</v>
      </c>
      <c r="N139" s="21"/>
      <c r="O139" s="22"/>
    </row>
    <row r="140" spans="1:15" ht="15">
      <c r="A140" s="38"/>
      <c r="B140" s="38"/>
      <c r="C140" s="1"/>
      <c r="D140" s="1" t="s">
        <v>19</v>
      </c>
      <c r="E140" s="1" t="s">
        <v>98</v>
      </c>
      <c r="F140" s="55">
        <v>0</v>
      </c>
      <c r="G140" s="42">
        <v>30000</v>
      </c>
      <c r="H140" s="42">
        <v>30000</v>
      </c>
      <c r="I140" s="52">
        <v>30000</v>
      </c>
      <c r="J140" s="55">
        <v>0</v>
      </c>
      <c r="K140" s="42">
        <v>0</v>
      </c>
      <c r="L140" s="42">
        <f t="shared" si="7"/>
        <v>0</v>
      </c>
      <c r="N140" s="21"/>
      <c r="O140" s="22"/>
    </row>
    <row r="141" spans="1:15" ht="15">
      <c r="A141" s="38"/>
      <c r="B141" s="38"/>
      <c r="C141" s="1"/>
      <c r="D141" s="1" t="s">
        <v>20</v>
      </c>
      <c r="E141" s="1" t="s">
        <v>102</v>
      </c>
      <c r="F141" s="55">
        <v>0</v>
      </c>
      <c r="G141" s="42">
        <v>400000</v>
      </c>
      <c r="H141" s="42">
        <v>500000</v>
      </c>
      <c r="I141" s="52">
        <v>400000</v>
      </c>
      <c r="J141" s="55">
        <f>224350.35-3034.13-2414.58</f>
        <v>218901.64</v>
      </c>
      <c r="K141" s="42">
        <v>0</v>
      </c>
      <c r="L141" s="42">
        <f t="shared" si="7"/>
        <v>54.72541000000001</v>
      </c>
      <c r="N141" s="21"/>
      <c r="O141" s="22"/>
    </row>
    <row r="142" spans="1:15" ht="15">
      <c r="A142" s="38"/>
      <c r="B142" s="38"/>
      <c r="C142" s="1"/>
      <c r="D142" s="1" t="s">
        <v>21</v>
      </c>
      <c r="E142" s="1" t="s">
        <v>94</v>
      </c>
      <c r="F142" s="55">
        <v>38.52</v>
      </c>
      <c r="G142" s="42">
        <v>0</v>
      </c>
      <c r="H142" s="42">
        <v>10000</v>
      </c>
      <c r="I142" s="52">
        <v>10000</v>
      </c>
      <c r="J142" s="55">
        <v>5946</v>
      </c>
      <c r="K142" s="42">
        <f t="shared" si="8"/>
        <v>15436.137071651088</v>
      </c>
      <c r="L142" s="42">
        <f t="shared" si="7"/>
        <v>59.46</v>
      </c>
      <c r="N142" s="21"/>
      <c r="O142" s="22"/>
    </row>
    <row r="143" spans="1:15" ht="15">
      <c r="A143" s="38"/>
      <c r="B143" s="38"/>
      <c r="C143" s="1"/>
      <c r="D143" s="1" t="s">
        <v>22</v>
      </c>
      <c r="E143" s="1" t="s">
        <v>62</v>
      </c>
      <c r="F143" s="55">
        <v>7043.6</v>
      </c>
      <c r="G143" s="42">
        <v>10000</v>
      </c>
      <c r="H143" s="42">
        <v>10000</v>
      </c>
      <c r="I143" s="52">
        <v>10000</v>
      </c>
      <c r="J143" s="55">
        <f>11482.35-1940.08-312.5-2502.86-744.67-5350.36-481.59-150.29</f>
        <v>0</v>
      </c>
      <c r="K143" s="42">
        <f t="shared" si="8"/>
        <v>0</v>
      </c>
      <c r="L143" s="42">
        <f t="shared" si="7"/>
        <v>0</v>
      </c>
      <c r="N143" s="21"/>
      <c r="O143" s="22"/>
    </row>
    <row r="144" spans="1:15" ht="15">
      <c r="A144" s="38"/>
      <c r="B144" s="38"/>
      <c r="C144" s="1"/>
      <c r="D144" s="53">
        <v>3235</v>
      </c>
      <c r="E144" s="1" t="s">
        <v>67</v>
      </c>
      <c r="F144" s="55">
        <v>11208.9</v>
      </c>
      <c r="G144" s="42">
        <v>100000</v>
      </c>
      <c r="H144" s="42">
        <v>100000</v>
      </c>
      <c r="I144" s="52">
        <v>100000</v>
      </c>
      <c r="J144" s="55">
        <v>16090.01</v>
      </c>
      <c r="K144" s="42">
        <f t="shared" si="8"/>
        <v>143.5467351836487</v>
      </c>
      <c r="L144" s="42">
        <f t="shared" si="7"/>
        <v>16.09001</v>
      </c>
      <c r="N144" s="21"/>
      <c r="O144" s="22"/>
    </row>
    <row r="145" spans="1:15" ht="15">
      <c r="A145" s="38"/>
      <c r="B145" s="38"/>
      <c r="C145" s="1"/>
      <c r="D145" s="1" t="s">
        <v>24</v>
      </c>
      <c r="E145" s="1" t="s">
        <v>74</v>
      </c>
      <c r="F145" s="55">
        <v>32357.5</v>
      </c>
      <c r="G145" s="42">
        <v>10000</v>
      </c>
      <c r="H145" s="42">
        <v>10000</v>
      </c>
      <c r="I145" s="52">
        <v>10000</v>
      </c>
      <c r="J145" s="55">
        <v>5150</v>
      </c>
      <c r="K145" s="42">
        <f t="shared" si="8"/>
        <v>15.915939117669783</v>
      </c>
      <c r="L145" s="42">
        <f t="shared" si="7"/>
        <v>51.5</v>
      </c>
      <c r="N145" s="21"/>
      <c r="O145" s="22"/>
    </row>
    <row r="146" spans="1:15" ht="15">
      <c r="A146" s="38"/>
      <c r="B146" s="38"/>
      <c r="C146" s="1"/>
      <c r="D146" s="1" t="s">
        <v>25</v>
      </c>
      <c r="E146" s="1" t="s">
        <v>72</v>
      </c>
      <c r="F146" s="55">
        <v>9446.32</v>
      </c>
      <c r="G146" s="42">
        <v>100000</v>
      </c>
      <c r="H146" s="42">
        <v>100000</v>
      </c>
      <c r="I146" s="52">
        <v>120000</v>
      </c>
      <c r="J146" s="55">
        <v>118584.48</v>
      </c>
      <c r="K146" s="42">
        <f t="shared" si="8"/>
        <v>1255.3510785152314</v>
      </c>
      <c r="L146" s="42">
        <f t="shared" si="7"/>
        <v>98.82039999999999</v>
      </c>
      <c r="N146" s="21"/>
      <c r="O146" s="22"/>
    </row>
    <row r="147" spans="1:15" ht="15">
      <c r="A147" s="38"/>
      <c r="B147" s="38"/>
      <c r="C147" s="1"/>
      <c r="D147" s="1" t="s">
        <v>26</v>
      </c>
      <c r="E147" s="1" t="s">
        <v>73</v>
      </c>
      <c r="F147" s="55">
        <v>25</v>
      </c>
      <c r="G147" s="42">
        <v>100000</v>
      </c>
      <c r="H147" s="42">
        <v>100000</v>
      </c>
      <c r="I147" s="52">
        <v>100000</v>
      </c>
      <c r="J147" s="55">
        <v>7662.5</v>
      </c>
      <c r="K147" s="42">
        <f t="shared" si="8"/>
        <v>30650</v>
      </c>
      <c r="L147" s="42">
        <f t="shared" si="7"/>
        <v>7.6625</v>
      </c>
      <c r="N147" s="21"/>
      <c r="O147" s="22"/>
    </row>
    <row r="148" spans="1:15" ht="15">
      <c r="A148" s="38"/>
      <c r="B148" s="38"/>
      <c r="C148" s="1"/>
      <c r="D148" s="1" t="s">
        <v>27</v>
      </c>
      <c r="E148" s="1" t="s">
        <v>58</v>
      </c>
      <c r="F148" s="55">
        <v>4606.25</v>
      </c>
      <c r="G148" s="42">
        <v>100000</v>
      </c>
      <c r="H148" s="42">
        <v>100000</v>
      </c>
      <c r="I148" s="52">
        <v>100000</v>
      </c>
      <c r="J148" s="55">
        <v>20.81</v>
      </c>
      <c r="K148" s="42">
        <f t="shared" si="8"/>
        <v>0.45177747625508813</v>
      </c>
      <c r="L148" s="42">
        <f t="shared" si="7"/>
        <v>0.02081</v>
      </c>
      <c r="N148" s="21"/>
      <c r="O148" s="22"/>
    </row>
    <row r="149" spans="1:15" ht="15">
      <c r="A149" s="38"/>
      <c r="B149" s="38"/>
      <c r="C149" s="1"/>
      <c r="D149" s="99">
        <v>323</v>
      </c>
      <c r="E149" s="99" t="s">
        <v>163</v>
      </c>
      <c r="F149" s="55"/>
      <c r="G149" s="42"/>
      <c r="H149" s="42"/>
      <c r="I149" s="109">
        <f>SUM(I140:I148)</f>
        <v>880000</v>
      </c>
      <c r="J149" s="109">
        <f>SUM(J140:J148)</f>
        <v>372355.44</v>
      </c>
      <c r="K149" s="42"/>
      <c r="L149" s="102">
        <f>+J149/I149*100</f>
        <v>42.31311818181818</v>
      </c>
      <c r="N149" s="21"/>
      <c r="O149" s="22"/>
    </row>
    <row r="150" spans="1:15" ht="15">
      <c r="A150" s="38"/>
      <c r="B150" s="38"/>
      <c r="C150" s="1"/>
      <c r="D150" s="1" t="s">
        <v>28</v>
      </c>
      <c r="E150" s="1" t="s">
        <v>103</v>
      </c>
      <c r="F150" s="55">
        <v>560</v>
      </c>
      <c r="G150" s="42">
        <v>10000</v>
      </c>
      <c r="H150" s="42">
        <v>10000</v>
      </c>
      <c r="I150" s="52">
        <v>10000</v>
      </c>
      <c r="J150" s="55">
        <v>0</v>
      </c>
      <c r="K150" s="42">
        <f t="shared" si="8"/>
        <v>0</v>
      </c>
      <c r="L150" s="42">
        <f t="shared" si="7"/>
        <v>0</v>
      </c>
      <c r="N150" s="21"/>
      <c r="O150" s="22"/>
    </row>
    <row r="151" spans="1:15" ht="15">
      <c r="A151" s="38"/>
      <c r="B151" s="38"/>
      <c r="C151" s="1"/>
      <c r="D151" s="99">
        <v>324</v>
      </c>
      <c r="E151" s="99" t="s">
        <v>103</v>
      </c>
      <c r="F151" s="55"/>
      <c r="G151" s="42"/>
      <c r="H151" s="42"/>
      <c r="I151" s="109">
        <f>SUM(I150)</f>
        <v>10000</v>
      </c>
      <c r="J151" s="109">
        <f>SUM(J150)</f>
        <v>0</v>
      </c>
      <c r="K151" s="42"/>
      <c r="L151" s="102">
        <f>+J151/I151*100</f>
        <v>0</v>
      </c>
      <c r="N151" s="21"/>
      <c r="O151" s="22"/>
    </row>
    <row r="152" spans="1:15" ht="15">
      <c r="A152" s="38"/>
      <c r="B152" s="38"/>
      <c r="C152" s="1"/>
      <c r="D152" s="53">
        <v>3291</v>
      </c>
      <c r="E152" s="1" t="s">
        <v>114</v>
      </c>
      <c r="F152" s="55">
        <v>0</v>
      </c>
      <c r="G152" s="42">
        <v>0</v>
      </c>
      <c r="H152" s="42">
        <v>0</v>
      </c>
      <c r="I152" s="52">
        <v>15000</v>
      </c>
      <c r="J152" s="55">
        <v>0</v>
      </c>
      <c r="K152" s="42">
        <v>0</v>
      </c>
      <c r="L152" s="42">
        <f t="shared" si="7"/>
        <v>0</v>
      </c>
      <c r="N152" s="21"/>
      <c r="O152" s="22"/>
    </row>
    <row r="153" spans="1:15" ht="15">
      <c r="A153" s="38"/>
      <c r="B153" s="38"/>
      <c r="C153" s="1"/>
      <c r="D153" s="1" t="s">
        <v>29</v>
      </c>
      <c r="E153" s="1" t="s">
        <v>64</v>
      </c>
      <c r="F153" s="55">
        <v>384.37</v>
      </c>
      <c r="G153" s="42">
        <v>0</v>
      </c>
      <c r="H153" s="42">
        <v>0</v>
      </c>
      <c r="I153" s="52">
        <v>0</v>
      </c>
      <c r="J153" s="55">
        <v>58.8</v>
      </c>
      <c r="K153" s="42">
        <f t="shared" si="8"/>
        <v>15.297759970861408</v>
      </c>
      <c r="L153" s="42">
        <v>0</v>
      </c>
      <c r="N153" s="21"/>
      <c r="O153" s="22"/>
    </row>
    <row r="154" spans="1:15" ht="15">
      <c r="A154" s="38"/>
      <c r="B154" s="38"/>
      <c r="C154" s="1"/>
      <c r="D154" s="1" t="s">
        <v>30</v>
      </c>
      <c r="E154" s="1" t="s">
        <v>59</v>
      </c>
      <c r="F154" s="55">
        <v>56971.56</v>
      </c>
      <c r="G154" s="42">
        <v>100000</v>
      </c>
      <c r="H154" s="42">
        <v>76917</v>
      </c>
      <c r="I154" s="52">
        <v>76917</v>
      </c>
      <c r="J154" s="55">
        <f>126148.84-2666.08</f>
        <v>123482.76</v>
      </c>
      <c r="K154" s="42">
        <f t="shared" si="8"/>
        <v>216.74456518304922</v>
      </c>
      <c r="L154" s="42">
        <f t="shared" si="7"/>
        <v>160.54027068138382</v>
      </c>
      <c r="N154" s="21"/>
      <c r="O154" s="22"/>
    </row>
    <row r="155" spans="1:15" ht="15">
      <c r="A155" s="38"/>
      <c r="B155" s="38"/>
      <c r="C155" s="1"/>
      <c r="D155" s="1" t="s">
        <v>31</v>
      </c>
      <c r="E155" s="1" t="s">
        <v>75</v>
      </c>
      <c r="F155" s="55">
        <v>6325.52</v>
      </c>
      <c r="G155" s="42">
        <v>30000</v>
      </c>
      <c r="H155" s="42">
        <v>30000</v>
      </c>
      <c r="I155" s="52">
        <v>10000</v>
      </c>
      <c r="J155" s="55">
        <v>175.53</v>
      </c>
      <c r="K155" s="42">
        <f t="shared" si="8"/>
        <v>2.7749497274532366</v>
      </c>
      <c r="L155" s="42">
        <f t="shared" si="7"/>
        <v>1.7552999999999999</v>
      </c>
      <c r="N155" s="21"/>
      <c r="O155" s="22"/>
    </row>
    <row r="156" spans="1:15" ht="15">
      <c r="A156" s="38"/>
      <c r="B156" s="38"/>
      <c r="C156" s="1"/>
      <c r="D156" s="53">
        <v>3295</v>
      </c>
      <c r="E156" s="1" t="s">
        <v>65</v>
      </c>
      <c r="F156" s="55">
        <v>0</v>
      </c>
      <c r="G156" s="42">
        <v>0</v>
      </c>
      <c r="H156" s="42">
        <v>0</v>
      </c>
      <c r="I156" s="52">
        <v>0</v>
      </c>
      <c r="J156" s="55">
        <v>9.08</v>
      </c>
      <c r="K156" s="42">
        <v>0</v>
      </c>
      <c r="L156" s="42">
        <v>0</v>
      </c>
      <c r="N156" s="21"/>
      <c r="O156" s="22"/>
    </row>
    <row r="157" spans="1:15" ht="15">
      <c r="A157" s="38"/>
      <c r="B157" s="38"/>
      <c r="C157" s="1"/>
      <c r="D157" s="1" t="s">
        <v>33</v>
      </c>
      <c r="E157" s="1" t="s">
        <v>89</v>
      </c>
      <c r="F157" s="55">
        <v>0</v>
      </c>
      <c r="G157" s="42">
        <v>10000</v>
      </c>
      <c r="H157" s="42">
        <v>10000</v>
      </c>
      <c r="I157" s="52">
        <v>10000</v>
      </c>
      <c r="J157" s="55">
        <v>0</v>
      </c>
      <c r="K157" s="42">
        <v>0</v>
      </c>
      <c r="L157" s="42">
        <f t="shared" si="7"/>
        <v>0</v>
      </c>
      <c r="N157" s="21"/>
      <c r="O157" s="22"/>
    </row>
    <row r="158" spans="1:15" ht="15">
      <c r="A158" s="38"/>
      <c r="B158" s="38"/>
      <c r="C158" s="1"/>
      <c r="D158" s="1" t="s">
        <v>34</v>
      </c>
      <c r="E158" s="1" t="s">
        <v>79</v>
      </c>
      <c r="F158" s="55">
        <v>34.64</v>
      </c>
      <c r="G158" s="42">
        <v>0</v>
      </c>
      <c r="H158" s="42">
        <v>0</v>
      </c>
      <c r="I158" s="52">
        <v>1000</v>
      </c>
      <c r="J158" s="55">
        <v>358.09</v>
      </c>
      <c r="K158" s="42">
        <f t="shared" si="8"/>
        <v>1033.7471131639722</v>
      </c>
      <c r="L158" s="42">
        <f t="shared" si="7"/>
        <v>35.809</v>
      </c>
      <c r="N158" s="21"/>
      <c r="O158" s="22"/>
    </row>
    <row r="159" spans="1:15" ht="15">
      <c r="A159" s="38"/>
      <c r="B159" s="38"/>
      <c r="C159" s="1"/>
      <c r="D159" s="99">
        <v>329</v>
      </c>
      <c r="E159" s="99" t="s">
        <v>79</v>
      </c>
      <c r="F159" s="55"/>
      <c r="G159" s="42"/>
      <c r="H159" s="42"/>
      <c r="I159" s="109">
        <f>SUM(I152:I158)</f>
        <v>112917</v>
      </c>
      <c r="J159" s="109">
        <f>SUM(J152:J158)</f>
        <v>124084.26</v>
      </c>
      <c r="K159" s="42"/>
      <c r="L159" s="102">
        <f>+J159/I159*100</f>
        <v>109.88979515927628</v>
      </c>
      <c r="N159" s="21"/>
      <c r="O159" s="22"/>
    </row>
    <row r="160" spans="1:15" ht="15">
      <c r="A160" s="38"/>
      <c r="B160" s="38"/>
      <c r="C160" s="1"/>
      <c r="D160" s="1" t="s">
        <v>35</v>
      </c>
      <c r="E160" s="1" t="s">
        <v>83</v>
      </c>
      <c r="F160" s="55">
        <v>1271.95</v>
      </c>
      <c r="G160" s="42">
        <v>5000</v>
      </c>
      <c r="H160" s="42">
        <v>5000</v>
      </c>
      <c r="I160" s="52">
        <v>5000</v>
      </c>
      <c r="J160" s="55">
        <f>4389.15-251.25-36.72-2495.12</f>
        <v>1606.0599999999995</v>
      </c>
      <c r="K160" s="42">
        <f t="shared" si="8"/>
        <v>126.26754196312744</v>
      </c>
      <c r="L160" s="42">
        <f t="shared" si="7"/>
        <v>32.12119999999999</v>
      </c>
      <c r="N160" s="21"/>
      <c r="O160" s="22"/>
    </row>
    <row r="161" spans="1:15" ht="15">
      <c r="A161" s="38"/>
      <c r="B161" s="38"/>
      <c r="C161" s="1"/>
      <c r="D161" s="1" t="s">
        <v>36</v>
      </c>
      <c r="E161" s="1" t="s">
        <v>110</v>
      </c>
      <c r="F161" s="55">
        <v>492.12</v>
      </c>
      <c r="G161" s="42">
        <v>1000</v>
      </c>
      <c r="H161" s="42">
        <v>1000</v>
      </c>
      <c r="I161" s="52">
        <v>1500</v>
      </c>
      <c r="J161" s="55">
        <v>808.18</v>
      </c>
      <c r="K161" s="42">
        <f t="shared" si="8"/>
        <v>164.22417296594324</v>
      </c>
      <c r="L161" s="42">
        <f t="shared" si="7"/>
        <v>53.87866666666666</v>
      </c>
      <c r="N161" s="21"/>
      <c r="O161" s="22"/>
    </row>
    <row r="162" spans="1:15" ht="15">
      <c r="A162" s="38"/>
      <c r="B162" s="38"/>
      <c r="C162" s="1"/>
      <c r="D162" s="1" t="s">
        <v>37</v>
      </c>
      <c r="E162" s="1" t="s">
        <v>60</v>
      </c>
      <c r="F162" s="55">
        <v>2804.52</v>
      </c>
      <c r="G162" s="42">
        <v>1000</v>
      </c>
      <c r="H162" s="42">
        <v>1000</v>
      </c>
      <c r="I162" s="52">
        <v>500</v>
      </c>
      <c r="J162" s="55">
        <v>222.65</v>
      </c>
      <c r="K162" s="42">
        <f t="shared" si="8"/>
        <v>7.938969948511689</v>
      </c>
      <c r="L162" s="42">
        <f t="shared" si="7"/>
        <v>44.53</v>
      </c>
      <c r="N162" s="21"/>
      <c r="O162" s="22"/>
    </row>
    <row r="163" spans="1:15" ht="15">
      <c r="A163" s="38"/>
      <c r="B163" s="38"/>
      <c r="C163" s="1"/>
      <c r="D163" s="1" t="s">
        <v>38</v>
      </c>
      <c r="E163" s="1" t="s">
        <v>80</v>
      </c>
      <c r="F163" s="55">
        <v>536.75</v>
      </c>
      <c r="G163" s="42">
        <v>5000</v>
      </c>
      <c r="H163" s="42">
        <v>5000</v>
      </c>
      <c r="I163" s="52">
        <v>5000</v>
      </c>
      <c r="J163" s="55">
        <v>0.01</v>
      </c>
      <c r="K163" s="42">
        <f t="shared" si="8"/>
        <v>0.0018630647414997672</v>
      </c>
      <c r="L163" s="42">
        <f t="shared" si="7"/>
        <v>0.00019999999999999998</v>
      </c>
      <c r="N163" s="21"/>
      <c r="O163" s="22"/>
    </row>
    <row r="164" spans="1:15" ht="15">
      <c r="A164" s="38"/>
      <c r="B164" s="38"/>
      <c r="C164" s="1"/>
      <c r="D164" s="99">
        <v>343</v>
      </c>
      <c r="E164" s="99" t="s">
        <v>170</v>
      </c>
      <c r="F164" s="55"/>
      <c r="G164" s="42"/>
      <c r="H164" s="42"/>
      <c r="I164" s="109">
        <f>SUM(I160:I163)</f>
        <v>12000</v>
      </c>
      <c r="J164" s="109">
        <f>SUM(J160:J163)</f>
        <v>2636.8999999999996</v>
      </c>
      <c r="K164" s="42"/>
      <c r="L164" s="102">
        <f>+J164/I164*100</f>
        <v>21.974166666666665</v>
      </c>
      <c r="N164" s="21"/>
      <c r="O164" s="22"/>
    </row>
    <row r="165" spans="1:15" ht="15">
      <c r="A165" s="38"/>
      <c r="B165" s="38"/>
      <c r="C165" s="1"/>
      <c r="D165" s="1" t="s">
        <v>39</v>
      </c>
      <c r="E165" s="1" t="s">
        <v>99</v>
      </c>
      <c r="F165" s="55">
        <v>0</v>
      </c>
      <c r="G165" s="42">
        <v>20000</v>
      </c>
      <c r="H165" s="42">
        <v>20000</v>
      </c>
      <c r="I165" s="52">
        <v>20000</v>
      </c>
      <c r="J165" s="55">
        <v>13000</v>
      </c>
      <c r="K165" s="42">
        <v>0</v>
      </c>
      <c r="L165" s="42">
        <f t="shared" si="7"/>
        <v>65</v>
      </c>
      <c r="N165" s="21"/>
      <c r="O165" s="22"/>
    </row>
    <row r="166" spans="1:15" ht="15">
      <c r="A166" s="38"/>
      <c r="B166" s="38"/>
      <c r="C166" s="1"/>
      <c r="D166" s="99">
        <v>372</v>
      </c>
      <c r="E166" s="99" t="s">
        <v>171</v>
      </c>
      <c r="F166" s="55"/>
      <c r="G166" s="42"/>
      <c r="H166" s="42"/>
      <c r="I166" s="109">
        <f>SUM(I165)</f>
        <v>20000</v>
      </c>
      <c r="J166" s="109">
        <f>SUM(J165)</f>
        <v>13000</v>
      </c>
      <c r="K166" s="42"/>
      <c r="L166" s="102">
        <f>+J166/I166*100</f>
        <v>65</v>
      </c>
      <c r="N166" s="21"/>
      <c r="O166" s="22"/>
    </row>
    <row r="167" spans="1:15" ht="15">
      <c r="A167" s="38"/>
      <c r="B167" s="38"/>
      <c r="C167" s="1"/>
      <c r="D167" s="53">
        <v>3835</v>
      </c>
      <c r="E167" s="1" t="s">
        <v>159</v>
      </c>
      <c r="F167" s="55">
        <v>0</v>
      </c>
      <c r="G167" s="42">
        <v>0</v>
      </c>
      <c r="H167" s="42">
        <v>0</v>
      </c>
      <c r="I167" s="52">
        <v>0</v>
      </c>
      <c r="J167" s="55">
        <v>2000</v>
      </c>
      <c r="K167" s="42">
        <v>0</v>
      </c>
      <c r="L167" s="42">
        <v>0</v>
      </c>
      <c r="N167" s="21"/>
      <c r="O167" s="22"/>
    </row>
    <row r="168" spans="1:15" ht="15">
      <c r="A168" s="38"/>
      <c r="B168" s="38"/>
      <c r="C168" s="1"/>
      <c r="D168" s="101">
        <v>383</v>
      </c>
      <c r="E168" s="99" t="s">
        <v>172</v>
      </c>
      <c r="F168" s="55"/>
      <c r="G168" s="42"/>
      <c r="H168" s="42"/>
      <c r="I168" s="109">
        <f>SUM(I167)</f>
        <v>0</v>
      </c>
      <c r="J168" s="109">
        <f>SUM(J167)</f>
        <v>2000</v>
      </c>
      <c r="K168" s="42"/>
      <c r="L168" s="102">
        <v>0</v>
      </c>
      <c r="N168" s="21"/>
      <c r="O168" s="22"/>
    </row>
    <row r="169" spans="1:15" ht="15">
      <c r="A169" s="38"/>
      <c r="B169" s="38"/>
      <c r="C169" s="1"/>
      <c r="D169" s="53">
        <v>4111</v>
      </c>
      <c r="E169" s="1" t="s">
        <v>160</v>
      </c>
      <c r="F169" s="55">
        <v>0</v>
      </c>
      <c r="G169" s="42">
        <v>0</v>
      </c>
      <c r="H169" s="42">
        <v>0</v>
      </c>
      <c r="I169" s="52">
        <v>0</v>
      </c>
      <c r="J169" s="55">
        <v>218730</v>
      </c>
      <c r="K169" s="42">
        <v>0</v>
      </c>
      <c r="L169" s="42">
        <v>0</v>
      </c>
      <c r="N169" s="21"/>
      <c r="O169" s="22"/>
    </row>
    <row r="170" spans="1:15" ht="15">
      <c r="A170" s="38"/>
      <c r="B170" s="38"/>
      <c r="C170" s="1"/>
      <c r="D170" s="101">
        <v>411</v>
      </c>
      <c r="E170" s="99" t="s">
        <v>173</v>
      </c>
      <c r="F170" s="55"/>
      <c r="G170" s="42"/>
      <c r="H170" s="42"/>
      <c r="I170" s="109">
        <f>SUM(I169)</f>
        <v>0</v>
      </c>
      <c r="J170" s="109">
        <f>SUM(J169)</f>
        <v>218730</v>
      </c>
      <c r="K170" s="42"/>
      <c r="L170" s="102">
        <v>0</v>
      </c>
      <c r="N170" s="21"/>
      <c r="O170" s="22"/>
    </row>
    <row r="171" spans="1:15" ht="15">
      <c r="A171" s="38"/>
      <c r="B171" s="38"/>
      <c r="C171" s="1"/>
      <c r="D171" s="1" t="s">
        <v>40</v>
      </c>
      <c r="E171" s="1" t="s">
        <v>54</v>
      </c>
      <c r="F171" s="55">
        <v>147937.5</v>
      </c>
      <c r="G171" s="42">
        <v>200000</v>
      </c>
      <c r="H171" s="42">
        <v>200000</v>
      </c>
      <c r="I171" s="52">
        <v>300000</v>
      </c>
      <c r="J171" s="55">
        <v>116800</v>
      </c>
      <c r="K171" s="42">
        <f t="shared" si="8"/>
        <v>78.95226024503592</v>
      </c>
      <c r="L171" s="42">
        <f t="shared" si="7"/>
        <v>38.93333333333333</v>
      </c>
      <c r="N171" s="21"/>
      <c r="O171" s="22"/>
    </row>
    <row r="172" spans="1:15" ht="15">
      <c r="A172" s="38"/>
      <c r="B172" s="38"/>
      <c r="C172" s="1"/>
      <c r="D172" s="99">
        <v>412</v>
      </c>
      <c r="E172" s="100" t="s">
        <v>164</v>
      </c>
      <c r="F172" s="55"/>
      <c r="G172" s="42"/>
      <c r="H172" s="42"/>
      <c r="I172" s="109">
        <f>SUM(I171)</f>
        <v>300000</v>
      </c>
      <c r="J172" s="109">
        <f>SUM(J171)</f>
        <v>116800</v>
      </c>
      <c r="K172" s="42"/>
      <c r="L172" s="102">
        <f>+J172/I172*100</f>
        <v>38.93333333333333</v>
      </c>
      <c r="N172" s="21"/>
      <c r="O172" s="22"/>
    </row>
    <row r="173" spans="1:15" ht="15">
      <c r="A173" s="38"/>
      <c r="B173" s="38"/>
      <c r="C173" s="1"/>
      <c r="D173" s="1" t="s">
        <v>41</v>
      </c>
      <c r="E173" s="1" t="s">
        <v>90</v>
      </c>
      <c r="F173" s="55">
        <v>216235.96</v>
      </c>
      <c r="G173" s="42">
        <v>300000</v>
      </c>
      <c r="H173" s="42">
        <v>300000</v>
      </c>
      <c r="I173" s="52">
        <v>300000</v>
      </c>
      <c r="J173" s="55">
        <v>192730.97</v>
      </c>
      <c r="K173" s="42">
        <f t="shared" si="8"/>
        <v>89.12993472501059</v>
      </c>
      <c r="L173" s="42">
        <f t="shared" si="7"/>
        <v>64.24365666666667</v>
      </c>
      <c r="N173" s="21"/>
      <c r="O173" s="22"/>
    </row>
    <row r="174" spans="1:15" ht="15">
      <c r="A174" s="38"/>
      <c r="B174" s="38"/>
      <c r="C174" s="1"/>
      <c r="D174" s="53">
        <v>4222</v>
      </c>
      <c r="E174" s="1" t="s">
        <v>66</v>
      </c>
      <c r="F174" s="55">
        <v>45304.94</v>
      </c>
      <c r="G174" s="42">
        <v>30000</v>
      </c>
      <c r="H174" s="42">
        <v>30000</v>
      </c>
      <c r="I174" s="52">
        <v>30000</v>
      </c>
      <c r="J174" s="55">
        <v>0</v>
      </c>
      <c r="K174" s="42">
        <f t="shared" si="8"/>
        <v>0</v>
      </c>
      <c r="L174" s="42">
        <f t="shared" si="7"/>
        <v>0</v>
      </c>
      <c r="N174" s="21"/>
      <c r="O174" s="22"/>
    </row>
    <row r="175" spans="1:15" ht="15">
      <c r="A175" s="38"/>
      <c r="B175" s="38"/>
      <c r="C175" s="1"/>
      <c r="D175" s="1" t="s">
        <v>43</v>
      </c>
      <c r="E175" s="1" t="s">
        <v>93</v>
      </c>
      <c r="F175" s="55">
        <v>15004.2</v>
      </c>
      <c r="G175" s="42">
        <v>100000</v>
      </c>
      <c r="H175" s="42">
        <v>180000</v>
      </c>
      <c r="I175" s="52">
        <v>180000</v>
      </c>
      <c r="J175" s="55">
        <v>85893.5</v>
      </c>
      <c r="K175" s="42">
        <f t="shared" si="8"/>
        <v>572.4630436811026</v>
      </c>
      <c r="L175" s="42">
        <f t="shared" si="7"/>
        <v>47.71861111111111</v>
      </c>
      <c r="N175" s="21"/>
      <c r="O175" s="22"/>
    </row>
    <row r="176" spans="1:15" ht="15">
      <c r="A176" s="38"/>
      <c r="B176" s="38"/>
      <c r="C176" s="1"/>
      <c r="D176" s="53">
        <v>4225</v>
      </c>
      <c r="E176" s="1" t="s">
        <v>138</v>
      </c>
      <c r="F176" s="55">
        <v>4900</v>
      </c>
      <c r="G176" s="42">
        <v>20000</v>
      </c>
      <c r="H176" s="42">
        <v>20000</v>
      </c>
      <c r="I176" s="52">
        <v>20000</v>
      </c>
      <c r="J176" s="55">
        <v>0</v>
      </c>
      <c r="K176" s="42">
        <f t="shared" si="8"/>
        <v>0</v>
      </c>
      <c r="L176" s="42">
        <f t="shared" si="7"/>
        <v>0</v>
      </c>
      <c r="N176" s="21"/>
      <c r="O176" s="22"/>
    </row>
    <row r="177" spans="1:15" ht="15">
      <c r="A177" s="38"/>
      <c r="B177" s="38"/>
      <c r="C177" s="1"/>
      <c r="D177" s="53">
        <v>4227</v>
      </c>
      <c r="E177" s="1" t="s">
        <v>115</v>
      </c>
      <c r="F177" s="55">
        <v>0</v>
      </c>
      <c r="G177" s="42">
        <v>100000</v>
      </c>
      <c r="H177" s="42">
        <v>300000</v>
      </c>
      <c r="I177" s="52">
        <v>300000</v>
      </c>
      <c r="J177" s="55">
        <v>165216.3</v>
      </c>
      <c r="K177" s="42">
        <v>0</v>
      </c>
      <c r="L177" s="42">
        <f t="shared" si="7"/>
        <v>55.0721</v>
      </c>
      <c r="N177" s="21"/>
      <c r="O177" s="22"/>
    </row>
    <row r="178" spans="1:15" ht="15">
      <c r="A178" s="38"/>
      <c r="B178" s="38"/>
      <c r="C178" s="1"/>
      <c r="D178" s="101">
        <v>422</v>
      </c>
      <c r="E178" s="99" t="s">
        <v>165</v>
      </c>
      <c r="F178" s="55"/>
      <c r="G178" s="42"/>
      <c r="H178" s="42"/>
      <c r="I178" s="109">
        <f>SUM(I173:I177)</f>
        <v>830000</v>
      </c>
      <c r="J178" s="109">
        <f>SUM(J173:J177)</f>
        <v>443840.76999999996</v>
      </c>
      <c r="K178" s="42"/>
      <c r="L178" s="102">
        <f>+J178/I178*100</f>
        <v>53.474791566265054</v>
      </c>
      <c r="N178" s="21"/>
      <c r="O178" s="22"/>
    </row>
    <row r="179" spans="1:15" ht="15">
      <c r="A179" s="38"/>
      <c r="B179" s="38"/>
      <c r="C179" s="1"/>
      <c r="D179" s="1" t="s">
        <v>44</v>
      </c>
      <c r="E179" s="1" t="s">
        <v>92</v>
      </c>
      <c r="F179" s="55">
        <v>0</v>
      </c>
      <c r="G179" s="42">
        <v>0</v>
      </c>
      <c r="H179" s="42">
        <v>175000</v>
      </c>
      <c r="I179" s="52">
        <v>175000</v>
      </c>
      <c r="J179" s="55">
        <v>3500</v>
      </c>
      <c r="K179" s="42">
        <v>0</v>
      </c>
      <c r="L179" s="42">
        <f t="shared" si="7"/>
        <v>2</v>
      </c>
      <c r="N179" s="21"/>
      <c r="O179" s="22"/>
    </row>
    <row r="180" spans="1:15" ht="15">
      <c r="A180" s="38"/>
      <c r="B180" s="38"/>
      <c r="C180" s="1"/>
      <c r="D180" s="99">
        <v>426</v>
      </c>
      <c r="E180" s="99" t="s">
        <v>166</v>
      </c>
      <c r="F180" s="55"/>
      <c r="G180" s="42"/>
      <c r="H180" s="42"/>
      <c r="I180" s="109">
        <f>SUM(I179)</f>
        <v>175000</v>
      </c>
      <c r="J180" s="109">
        <f>SUM(J179)</f>
        <v>3500</v>
      </c>
      <c r="K180" s="42"/>
      <c r="L180" s="102">
        <f>+J180/I180*100</f>
        <v>2</v>
      </c>
      <c r="N180" s="21"/>
      <c r="O180" s="22"/>
    </row>
    <row r="181" spans="1:15" ht="15">
      <c r="A181" s="38"/>
      <c r="B181" s="38"/>
      <c r="C181" s="1"/>
      <c r="D181" s="1" t="s">
        <v>45</v>
      </c>
      <c r="E181" s="1" t="s">
        <v>106</v>
      </c>
      <c r="F181" s="55">
        <v>0</v>
      </c>
      <c r="G181" s="42">
        <v>0</v>
      </c>
      <c r="H181" s="42">
        <v>0</v>
      </c>
      <c r="I181" s="52">
        <v>0</v>
      </c>
      <c r="J181" s="55">
        <v>16657.56</v>
      </c>
      <c r="K181" s="42">
        <v>0</v>
      </c>
      <c r="L181" s="42">
        <v>0</v>
      </c>
      <c r="N181" s="21"/>
      <c r="O181" s="22"/>
    </row>
    <row r="182" spans="1:15" ht="15">
      <c r="A182" s="38"/>
      <c r="B182" s="38"/>
      <c r="C182" s="1"/>
      <c r="D182" s="99">
        <v>431</v>
      </c>
      <c r="E182" s="99" t="s">
        <v>167</v>
      </c>
      <c r="F182" s="55"/>
      <c r="G182" s="42"/>
      <c r="H182" s="42"/>
      <c r="I182" s="109">
        <f>SUM(I181)</f>
        <v>0</v>
      </c>
      <c r="J182" s="109">
        <f>SUM(J181)</f>
        <v>16657.56</v>
      </c>
      <c r="K182" s="42"/>
      <c r="L182" s="102">
        <v>0</v>
      </c>
      <c r="N182" s="21"/>
      <c r="O182" s="22"/>
    </row>
    <row r="183" spans="1:15" ht="15">
      <c r="A183" s="38"/>
      <c r="B183" s="38"/>
      <c r="C183" s="1"/>
      <c r="D183" s="1" t="s">
        <v>46</v>
      </c>
      <c r="E183" s="1" t="s">
        <v>101</v>
      </c>
      <c r="F183" s="55">
        <v>416661.45</v>
      </c>
      <c r="G183" s="42">
        <v>724633</v>
      </c>
      <c r="H183" s="42">
        <v>724633</v>
      </c>
      <c r="I183" s="52">
        <v>548633</v>
      </c>
      <c r="J183" s="55">
        <v>0</v>
      </c>
      <c r="K183" s="42">
        <f t="shared" si="8"/>
        <v>0</v>
      </c>
      <c r="L183" s="42">
        <f t="shared" si="7"/>
        <v>0</v>
      </c>
      <c r="N183" s="21"/>
      <c r="O183" s="22"/>
    </row>
    <row r="184" spans="1:15" ht="15" hidden="1">
      <c r="A184" s="38"/>
      <c r="B184" s="38"/>
      <c r="C184" s="1">
        <v>3</v>
      </c>
      <c r="D184" s="1"/>
      <c r="E184" s="1"/>
      <c r="F184" s="55"/>
      <c r="G184" s="42"/>
      <c r="H184" s="1"/>
      <c r="I184" s="52"/>
      <c r="J184" s="55"/>
      <c r="K184" s="42" t="e">
        <f t="shared" si="8"/>
        <v>#DIV/0!</v>
      </c>
      <c r="L184" s="42" t="e">
        <f t="shared" si="7"/>
        <v>#DIV/0!</v>
      </c>
      <c r="N184" s="21"/>
      <c r="O184" s="22"/>
    </row>
    <row r="185" spans="1:15" ht="19.5" customHeight="1" hidden="1">
      <c r="A185" s="1"/>
      <c r="B185" s="1"/>
      <c r="C185" s="1">
        <v>2</v>
      </c>
      <c r="D185" s="1"/>
      <c r="E185" s="1"/>
      <c r="F185" s="55"/>
      <c r="G185" s="42"/>
      <c r="H185" s="1"/>
      <c r="I185" s="3"/>
      <c r="J185" s="55"/>
      <c r="K185" s="42" t="e">
        <f t="shared" si="8"/>
        <v>#DIV/0!</v>
      </c>
      <c r="L185" s="42" t="e">
        <f t="shared" si="7"/>
        <v>#DIV/0!</v>
      </c>
      <c r="N185" s="23"/>
      <c r="O185" s="24"/>
    </row>
    <row r="186" spans="1:15" ht="15" hidden="1">
      <c r="A186" s="1"/>
      <c r="B186" s="1"/>
      <c r="C186" s="1">
        <v>1</v>
      </c>
      <c r="D186" s="1"/>
      <c r="E186" s="1"/>
      <c r="F186" s="55"/>
      <c r="G186" s="42"/>
      <c r="H186" s="1"/>
      <c r="I186" s="3"/>
      <c r="J186" s="55"/>
      <c r="K186" s="42" t="e">
        <f t="shared" si="8"/>
        <v>#DIV/0!</v>
      </c>
      <c r="L186" s="42" t="e">
        <f t="shared" si="7"/>
        <v>#DIV/0!</v>
      </c>
      <c r="N186" s="23"/>
      <c r="O186" s="24"/>
    </row>
    <row r="187" spans="1:15" ht="15" hidden="1">
      <c r="A187" s="1"/>
      <c r="B187" s="1"/>
      <c r="C187" s="1" t="s">
        <v>52</v>
      </c>
      <c r="D187" s="1"/>
      <c r="E187" s="1"/>
      <c r="F187" s="55"/>
      <c r="G187" s="42"/>
      <c r="H187" s="1"/>
      <c r="I187" s="3"/>
      <c r="J187" s="55"/>
      <c r="K187" s="42" t="e">
        <f t="shared" si="8"/>
        <v>#DIV/0!</v>
      </c>
      <c r="L187" s="42" t="e">
        <f t="shared" si="7"/>
        <v>#DIV/0!</v>
      </c>
      <c r="N187" s="23"/>
      <c r="O187" s="24"/>
    </row>
    <row r="188" spans="1:15" ht="15">
      <c r="A188" s="1"/>
      <c r="B188" s="1"/>
      <c r="C188" s="1"/>
      <c r="D188" s="99">
        <v>451</v>
      </c>
      <c r="E188" s="99" t="s">
        <v>101</v>
      </c>
      <c r="F188" s="55"/>
      <c r="G188" s="42"/>
      <c r="H188" s="1"/>
      <c r="I188" s="109">
        <f>SUM(I183:I187)</f>
        <v>548633</v>
      </c>
      <c r="J188" s="109">
        <f>SUM(J183:J187)</f>
        <v>0</v>
      </c>
      <c r="K188" s="42"/>
      <c r="L188" s="102">
        <f>+J188/I188*100</f>
        <v>0</v>
      </c>
      <c r="N188" s="23"/>
      <c r="O188" s="24"/>
    </row>
    <row r="189" spans="1:15" ht="15">
      <c r="A189" s="1"/>
      <c r="B189" s="1"/>
      <c r="C189" s="1"/>
      <c r="D189" s="53">
        <v>4521</v>
      </c>
      <c r="E189" s="1" t="s">
        <v>139</v>
      </c>
      <c r="F189" s="55">
        <v>0</v>
      </c>
      <c r="G189" s="42">
        <v>0</v>
      </c>
      <c r="H189" s="42">
        <v>150000</v>
      </c>
      <c r="I189" s="3">
        <v>150000</v>
      </c>
      <c r="J189" s="55">
        <v>0</v>
      </c>
      <c r="K189" s="42">
        <v>0</v>
      </c>
      <c r="L189" s="42">
        <f t="shared" si="7"/>
        <v>0</v>
      </c>
      <c r="N189" s="23"/>
      <c r="O189" s="24"/>
    </row>
    <row r="190" spans="1:15" ht="15">
      <c r="A190" s="1"/>
      <c r="B190" s="1"/>
      <c r="C190" s="1"/>
      <c r="D190" s="101">
        <v>452</v>
      </c>
      <c r="E190" s="99" t="s">
        <v>139</v>
      </c>
      <c r="F190" s="55"/>
      <c r="G190" s="42"/>
      <c r="H190" s="42"/>
      <c r="I190" s="109">
        <f>SUM(I189)</f>
        <v>150000</v>
      </c>
      <c r="J190" s="109">
        <f>SUM(J189)</f>
        <v>0</v>
      </c>
      <c r="K190" s="42"/>
      <c r="L190" s="102">
        <f>+J190/I190*100</f>
        <v>0</v>
      </c>
      <c r="N190" s="23"/>
      <c r="O190" s="24"/>
    </row>
    <row r="191" spans="1:15" ht="15">
      <c r="A191" s="1"/>
      <c r="B191" s="1"/>
      <c r="C191" s="44">
        <v>43</v>
      </c>
      <c r="D191" s="1"/>
      <c r="E191" s="44" t="s">
        <v>117</v>
      </c>
      <c r="F191" s="54">
        <f>SUM(F192:F203)</f>
        <v>140844.99</v>
      </c>
      <c r="G191" s="54">
        <f>SUM(G192:G203)</f>
        <v>240000</v>
      </c>
      <c r="H191" s="54">
        <f>SUM(H192:H203)</f>
        <v>357338.3</v>
      </c>
      <c r="I191" s="54">
        <f>+I193+I195+I198+I202+I204</f>
        <v>377338.3</v>
      </c>
      <c r="J191" s="54">
        <f>+J193+J195+J198+J202+J204</f>
        <v>188936.79</v>
      </c>
      <c r="K191" s="72">
        <f t="shared" si="8"/>
        <v>134.1451974969078</v>
      </c>
      <c r="L191" s="72">
        <f t="shared" si="7"/>
        <v>50.070928395023785</v>
      </c>
      <c r="N191" s="23"/>
      <c r="O191" s="24"/>
    </row>
    <row r="192" spans="1:15" ht="15">
      <c r="A192" s="1"/>
      <c r="B192" s="1"/>
      <c r="C192" s="44"/>
      <c r="D192" s="53">
        <v>3121</v>
      </c>
      <c r="E192" s="1" t="s">
        <v>70</v>
      </c>
      <c r="F192" s="55">
        <v>64934.63</v>
      </c>
      <c r="G192" s="42">
        <v>102000</v>
      </c>
      <c r="H192" s="55">
        <v>120000</v>
      </c>
      <c r="I192" s="52">
        <v>120000</v>
      </c>
      <c r="J192" s="55">
        <v>79183.8</v>
      </c>
      <c r="K192" s="42">
        <f t="shared" si="8"/>
        <v>121.9438687800331</v>
      </c>
      <c r="L192" s="42">
        <f t="shared" si="7"/>
        <v>65.9865</v>
      </c>
      <c r="N192" s="23"/>
      <c r="O192" s="24"/>
    </row>
    <row r="193" spans="1:15" ht="15">
      <c r="A193" s="1"/>
      <c r="B193" s="1"/>
      <c r="C193" s="44"/>
      <c r="D193" s="99">
        <v>312</v>
      </c>
      <c r="E193" s="99" t="s">
        <v>70</v>
      </c>
      <c r="F193" s="55"/>
      <c r="G193" s="42"/>
      <c r="H193" s="55"/>
      <c r="I193" s="55">
        <f>+I192</f>
        <v>120000</v>
      </c>
      <c r="J193" s="55">
        <f>+J192</f>
        <v>79183.8</v>
      </c>
      <c r="K193" s="42"/>
      <c r="L193" s="102">
        <f>+J193/I193*100</f>
        <v>65.9865</v>
      </c>
      <c r="N193" s="23"/>
      <c r="O193" s="24"/>
    </row>
    <row r="194" spans="1:15" ht="15">
      <c r="A194" s="1"/>
      <c r="B194" s="1"/>
      <c r="C194" s="44"/>
      <c r="D194" s="53">
        <v>3211</v>
      </c>
      <c r="E194" s="1" t="s">
        <v>77</v>
      </c>
      <c r="F194" s="55">
        <v>10015.01</v>
      </c>
      <c r="G194" s="42">
        <v>20000</v>
      </c>
      <c r="H194" s="55">
        <v>50000</v>
      </c>
      <c r="I194" s="52">
        <v>50000</v>
      </c>
      <c r="J194" s="55">
        <v>9685.4</v>
      </c>
      <c r="K194" s="42">
        <f t="shared" si="8"/>
        <v>96.7088400311133</v>
      </c>
      <c r="L194" s="42">
        <f t="shared" si="7"/>
        <v>19.3708</v>
      </c>
      <c r="N194" s="23"/>
      <c r="O194" s="24"/>
    </row>
    <row r="195" spans="1:15" ht="15">
      <c r="A195" s="1"/>
      <c r="B195" s="1"/>
      <c r="C195" s="44"/>
      <c r="D195" s="99">
        <v>321</v>
      </c>
      <c r="E195" s="99" t="s">
        <v>161</v>
      </c>
      <c r="F195" s="55"/>
      <c r="G195" s="42"/>
      <c r="H195" s="55"/>
      <c r="I195" s="55">
        <f>+I194</f>
        <v>50000</v>
      </c>
      <c r="J195" s="55">
        <f>+J194</f>
        <v>9685.4</v>
      </c>
      <c r="K195" s="42"/>
      <c r="L195" s="102">
        <f>+J195/I195*100</f>
        <v>19.3708</v>
      </c>
      <c r="N195" s="23"/>
      <c r="O195" s="24"/>
    </row>
    <row r="196" spans="1:15" ht="15">
      <c r="A196" s="1"/>
      <c r="B196" s="1"/>
      <c r="C196" s="44"/>
      <c r="D196" s="53">
        <v>3221</v>
      </c>
      <c r="E196" s="1" t="s">
        <v>86</v>
      </c>
      <c r="F196" s="55">
        <v>0</v>
      </c>
      <c r="G196" s="42">
        <v>30000</v>
      </c>
      <c r="H196" s="55">
        <v>50000</v>
      </c>
      <c r="I196" s="52">
        <v>45000</v>
      </c>
      <c r="J196" s="55">
        <v>6270.88</v>
      </c>
      <c r="K196" s="42">
        <v>0</v>
      </c>
      <c r="L196" s="42">
        <f t="shared" si="7"/>
        <v>13.93528888888889</v>
      </c>
      <c r="N196" s="23"/>
      <c r="O196" s="24"/>
    </row>
    <row r="197" spans="1:15" ht="15">
      <c r="A197" s="1"/>
      <c r="B197" s="1"/>
      <c r="C197" s="44"/>
      <c r="D197" s="53">
        <v>3223</v>
      </c>
      <c r="E197" s="1" t="s">
        <v>55</v>
      </c>
      <c r="F197" s="55">
        <v>0</v>
      </c>
      <c r="G197" s="42">
        <v>0</v>
      </c>
      <c r="H197" s="55">
        <v>0</v>
      </c>
      <c r="I197" s="52">
        <v>5000</v>
      </c>
      <c r="J197" s="55">
        <v>1092.12</v>
      </c>
      <c r="K197" s="42">
        <v>0</v>
      </c>
      <c r="L197" s="42">
        <f t="shared" si="7"/>
        <v>21.842399999999998</v>
      </c>
      <c r="N197" s="23"/>
      <c r="O197" s="24"/>
    </row>
    <row r="198" spans="1:15" ht="15">
      <c r="A198" s="1"/>
      <c r="B198" s="1"/>
      <c r="C198" s="44"/>
      <c r="D198" s="101">
        <v>322</v>
      </c>
      <c r="E198" s="99" t="s">
        <v>162</v>
      </c>
      <c r="F198" s="55"/>
      <c r="G198" s="42"/>
      <c r="H198" s="55"/>
      <c r="I198" s="55">
        <f>SUM(I196:I197)</f>
        <v>50000</v>
      </c>
      <c r="J198" s="55">
        <f>SUM(J196:J197)</f>
        <v>7363</v>
      </c>
      <c r="K198" s="42"/>
      <c r="L198" s="102">
        <f>+J198/I198*100</f>
        <v>14.726</v>
      </c>
      <c r="N198" s="23"/>
      <c r="O198" s="24"/>
    </row>
    <row r="199" spans="1:15" ht="15">
      <c r="A199" s="1"/>
      <c r="B199" s="1"/>
      <c r="C199" s="44"/>
      <c r="D199" s="53">
        <v>3231</v>
      </c>
      <c r="E199" s="1" t="s">
        <v>98</v>
      </c>
      <c r="F199" s="55">
        <v>0</v>
      </c>
      <c r="G199" s="42">
        <v>3000</v>
      </c>
      <c r="H199" s="55">
        <v>5000</v>
      </c>
      <c r="I199" s="52">
        <v>5000</v>
      </c>
      <c r="J199" s="55">
        <v>0</v>
      </c>
      <c r="K199" s="42">
        <v>0</v>
      </c>
      <c r="L199" s="42">
        <f t="shared" si="7"/>
        <v>0</v>
      </c>
      <c r="N199" s="23"/>
      <c r="O199" s="24"/>
    </row>
    <row r="200" spans="1:15" ht="15">
      <c r="A200" s="1"/>
      <c r="B200" s="1"/>
      <c r="C200" s="44"/>
      <c r="D200" s="53">
        <v>3232</v>
      </c>
      <c r="E200" s="1" t="s">
        <v>102</v>
      </c>
      <c r="F200" s="55">
        <v>0</v>
      </c>
      <c r="G200" s="42">
        <v>0</v>
      </c>
      <c r="H200" s="55">
        <v>13183.3</v>
      </c>
      <c r="I200" s="52">
        <v>33183.3</v>
      </c>
      <c r="J200" s="55">
        <v>25786.27</v>
      </c>
      <c r="K200" s="42">
        <v>0</v>
      </c>
      <c r="L200" s="42">
        <f t="shared" si="7"/>
        <v>77.70857630193501</v>
      </c>
      <c r="N200" s="23"/>
      <c r="O200" s="24"/>
    </row>
    <row r="201" spans="1:15" ht="15">
      <c r="A201" s="1"/>
      <c r="B201" s="1"/>
      <c r="C201" s="44"/>
      <c r="D201" s="53">
        <v>3237</v>
      </c>
      <c r="E201" s="1" t="s">
        <v>72</v>
      </c>
      <c r="F201" s="55">
        <v>53890.27</v>
      </c>
      <c r="G201" s="42">
        <v>70000</v>
      </c>
      <c r="H201" s="55">
        <v>94155</v>
      </c>
      <c r="I201" s="52">
        <v>94155</v>
      </c>
      <c r="J201" s="55">
        <v>51559.92</v>
      </c>
      <c r="K201" s="42">
        <f t="shared" si="8"/>
        <v>95.67575000088142</v>
      </c>
      <c r="L201" s="42">
        <f t="shared" si="7"/>
        <v>54.760681854389034</v>
      </c>
      <c r="N201" s="23"/>
      <c r="O201" s="24"/>
    </row>
    <row r="202" spans="1:15" ht="15">
      <c r="A202" s="1"/>
      <c r="B202" s="1"/>
      <c r="C202" s="44"/>
      <c r="D202" s="99">
        <v>323</v>
      </c>
      <c r="E202" s="99" t="s">
        <v>163</v>
      </c>
      <c r="F202" s="55"/>
      <c r="G202" s="42"/>
      <c r="H202" s="55"/>
      <c r="I202" s="55">
        <f>SUM(I199:I201)</f>
        <v>132338.3</v>
      </c>
      <c r="J202" s="55">
        <f>SUM(J199:J201)</f>
        <v>77346.19</v>
      </c>
      <c r="K202" s="42"/>
      <c r="L202" s="102">
        <f>+J202/I202*100</f>
        <v>58.44580896082239</v>
      </c>
      <c r="N202" s="23"/>
      <c r="O202" s="24"/>
    </row>
    <row r="203" spans="1:15" ht="15">
      <c r="A203" s="1"/>
      <c r="B203" s="1"/>
      <c r="C203" s="1"/>
      <c r="D203" s="53">
        <v>3241</v>
      </c>
      <c r="E203" s="1" t="s">
        <v>103</v>
      </c>
      <c r="F203" s="55">
        <v>12005.08</v>
      </c>
      <c r="G203" s="42">
        <v>15000</v>
      </c>
      <c r="H203" s="55">
        <v>25000</v>
      </c>
      <c r="I203" s="52">
        <v>25000</v>
      </c>
      <c r="J203" s="55">
        <v>15358.4</v>
      </c>
      <c r="K203" s="42">
        <f t="shared" si="8"/>
        <v>127.93250857137146</v>
      </c>
      <c r="L203" s="42">
        <f t="shared" si="7"/>
        <v>61.4336</v>
      </c>
      <c r="N203" s="23"/>
      <c r="O203" s="24"/>
    </row>
    <row r="204" spans="1:15" ht="15">
      <c r="A204" s="1"/>
      <c r="B204" s="1"/>
      <c r="C204" s="1"/>
      <c r="D204" s="99">
        <v>324</v>
      </c>
      <c r="E204" s="99" t="s">
        <v>103</v>
      </c>
      <c r="F204" s="55"/>
      <c r="G204" s="42"/>
      <c r="H204" s="55"/>
      <c r="I204" s="55">
        <f>+I203</f>
        <v>25000</v>
      </c>
      <c r="J204" s="55">
        <f>+J203</f>
        <v>15358.4</v>
      </c>
      <c r="K204" s="42"/>
      <c r="L204" s="102">
        <f>+J204/I204*100</f>
        <v>61.4336</v>
      </c>
      <c r="N204" s="23"/>
      <c r="O204" s="24"/>
    </row>
    <row r="205" spans="1:15" ht="15">
      <c r="A205" s="1"/>
      <c r="B205" s="1"/>
      <c r="C205" s="44">
        <v>51</v>
      </c>
      <c r="D205" s="53"/>
      <c r="E205" s="44" t="s">
        <v>140</v>
      </c>
      <c r="F205" s="54">
        <f>SUM(F206)</f>
        <v>42369.83</v>
      </c>
      <c r="G205" s="54">
        <f>SUM(G206)</f>
        <v>0</v>
      </c>
      <c r="H205" s="55">
        <v>0</v>
      </c>
      <c r="I205" s="54">
        <f>+I207</f>
        <v>0</v>
      </c>
      <c r="J205" s="54">
        <f>+J207</f>
        <v>0</v>
      </c>
      <c r="K205" s="72">
        <f aca="true" t="shared" si="9" ref="K205:K214">+J205/F205*100</f>
        <v>0</v>
      </c>
      <c r="L205" s="72">
        <v>0</v>
      </c>
      <c r="N205" s="23"/>
      <c r="O205" s="24"/>
    </row>
    <row r="206" spans="1:15" ht="15">
      <c r="A206" s="1"/>
      <c r="B206" s="1"/>
      <c r="C206" s="1"/>
      <c r="D206" s="53">
        <v>3239</v>
      </c>
      <c r="E206" s="1" t="s">
        <v>58</v>
      </c>
      <c r="F206" s="55">
        <v>42369.83</v>
      </c>
      <c r="G206" s="42">
        <v>0</v>
      </c>
      <c r="H206" s="55">
        <v>0</v>
      </c>
      <c r="I206" s="52">
        <v>0</v>
      </c>
      <c r="J206" s="55">
        <v>0</v>
      </c>
      <c r="K206" s="42">
        <f t="shared" si="9"/>
        <v>0</v>
      </c>
      <c r="L206" s="42">
        <v>0</v>
      </c>
      <c r="N206" s="23"/>
      <c r="O206" s="24"/>
    </row>
    <row r="207" spans="1:15" ht="15">
      <c r="A207" s="1"/>
      <c r="B207" s="1"/>
      <c r="C207" s="1"/>
      <c r="D207" s="99">
        <v>323</v>
      </c>
      <c r="E207" s="99" t="s">
        <v>163</v>
      </c>
      <c r="F207" s="55"/>
      <c r="G207" s="42"/>
      <c r="H207" s="55"/>
      <c r="I207" s="55">
        <f>+I206</f>
        <v>0</v>
      </c>
      <c r="J207" s="55">
        <f>+J206</f>
        <v>0</v>
      </c>
      <c r="K207" s="42"/>
      <c r="L207" s="102">
        <v>0</v>
      </c>
      <c r="N207" s="23"/>
      <c r="O207" s="24"/>
    </row>
    <row r="208" spans="1:15" ht="15">
      <c r="A208" s="1"/>
      <c r="B208" s="1"/>
      <c r="C208" s="76">
        <v>52</v>
      </c>
      <c r="D208" s="73"/>
      <c r="E208" s="76" t="s">
        <v>124</v>
      </c>
      <c r="F208" s="80">
        <f>SUM(F209:F211)</f>
        <v>245771.14</v>
      </c>
      <c r="G208" s="80">
        <f>SUM(G209:G211)</f>
        <v>173394</v>
      </c>
      <c r="H208" s="80">
        <f>SUM(H209:H211)</f>
        <v>177072.82</v>
      </c>
      <c r="I208" s="80">
        <f>+I210+I212</f>
        <v>177072.82</v>
      </c>
      <c r="J208" s="80">
        <f>+J210+J212</f>
        <v>170513.34</v>
      </c>
      <c r="K208" s="72">
        <f t="shared" si="9"/>
        <v>69.3789108029527</v>
      </c>
      <c r="L208" s="72">
        <f t="shared" si="7"/>
        <v>96.29560313096046</v>
      </c>
      <c r="N208" s="23"/>
      <c r="O208" s="24"/>
    </row>
    <row r="209" spans="1:15" ht="15">
      <c r="A209" s="1"/>
      <c r="B209" s="1"/>
      <c r="C209" s="6"/>
      <c r="D209" s="73">
        <v>3111</v>
      </c>
      <c r="E209" s="6" t="s">
        <v>81</v>
      </c>
      <c r="F209" s="82">
        <v>228959.14</v>
      </c>
      <c r="G209" s="39">
        <v>164394</v>
      </c>
      <c r="H209" s="82">
        <v>172752.82</v>
      </c>
      <c r="I209" s="10">
        <v>172752.82</v>
      </c>
      <c r="J209" s="82">
        <v>166001.34</v>
      </c>
      <c r="K209" s="42">
        <f t="shared" si="9"/>
        <v>72.5026046132074</v>
      </c>
      <c r="L209" s="42">
        <f t="shared" si="7"/>
        <v>96.09182646048845</v>
      </c>
      <c r="N209" s="23"/>
      <c r="O209" s="24"/>
    </row>
    <row r="210" spans="1:15" ht="15">
      <c r="A210" s="1"/>
      <c r="B210" s="1"/>
      <c r="C210" s="6"/>
      <c r="D210" s="99">
        <v>311</v>
      </c>
      <c r="E210" s="99" t="s">
        <v>168</v>
      </c>
      <c r="F210" s="82"/>
      <c r="G210" s="39"/>
      <c r="H210" s="82"/>
      <c r="I210" s="82">
        <f>+I209</f>
        <v>172752.82</v>
      </c>
      <c r="J210" s="82">
        <f>+J209</f>
        <v>166001.34</v>
      </c>
      <c r="K210" s="42"/>
      <c r="L210" s="102">
        <f>+J210/I210*100</f>
        <v>96.09182646048845</v>
      </c>
      <c r="N210" s="23"/>
      <c r="O210" s="24"/>
    </row>
    <row r="211" spans="1:15" ht="15">
      <c r="A211" s="1"/>
      <c r="B211" s="1"/>
      <c r="C211" s="6"/>
      <c r="D211" s="73">
        <v>3212</v>
      </c>
      <c r="E211" s="6" t="s">
        <v>105</v>
      </c>
      <c r="F211" s="82">
        <v>16812</v>
      </c>
      <c r="G211" s="39">
        <v>9000</v>
      </c>
      <c r="H211" s="82">
        <v>4320</v>
      </c>
      <c r="I211" s="10">
        <v>4320</v>
      </c>
      <c r="J211" s="82">
        <v>4512</v>
      </c>
      <c r="K211" s="42">
        <f t="shared" si="9"/>
        <v>26.837972876516776</v>
      </c>
      <c r="L211" s="42">
        <f t="shared" si="7"/>
        <v>104.44444444444446</v>
      </c>
      <c r="N211" s="23"/>
      <c r="O211" s="24"/>
    </row>
    <row r="212" spans="1:15" ht="15">
      <c r="A212" s="1"/>
      <c r="B212" s="1"/>
      <c r="C212" s="6"/>
      <c r="D212" s="99">
        <v>321</v>
      </c>
      <c r="E212" s="99" t="s">
        <v>161</v>
      </c>
      <c r="F212" s="82"/>
      <c r="G212" s="39"/>
      <c r="H212" s="82"/>
      <c r="I212" s="82">
        <f>+I211</f>
        <v>4320</v>
      </c>
      <c r="J212" s="82">
        <f>+J211</f>
        <v>4512</v>
      </c>
      <c r="K212" s="42"/>
      <c r="L212" s="102">
        <f>+J212/I212*100</f>
        <v>104.44444444444446</v>
      </c>
      <c r="N212" s="23"/>
      <c r="O212" s="24"/>
    </row>
    <row r="213" spans="1:15" ht="15">
      <c r="A213" s="1"/>
      <c r="B213" s="1"/>
      <c r="C213" s="44">
        <v>61</v>
      </c>
      <c r="D213" s="57"/>
      <c r="E213" s="44" t="s">
        <v>119</v>
      </c>
      <c r="F213" s="54">
        <f>SUM(F214)</f>
        <v>149375</v>
      </c>
      <c r="G213" s="54">
        <f>SUM(G214)</f>
        <v>0</v>
      </c>
      <c r="H213" s="56">
        <v>0</v>
      </c>
      <c r="I213" s="54">
        <f>+I215</f>
        <v>0</v>
      </c>
      <c r="J213" s="54">
        <f>+J215</f>
        <v>14400</v>
      </c>
      <c r="K213" s="72">
        <f t="shared" si="9"/>
        <v>9.640167364016737</v>
      </c>
      <c r="L213" s="72">
        <v>0</v>
      </c>
      <c r="M213" s="40"/>
      <c r="N213" s="23"/>
      <c r="O213" s="24"/>
    </row>
    <row r="214" spans="1:15" ht="15">
      <c r="A214" s="1"/>
      <c r="B214" s="1"/>
      <c r="C214" s="1"/>
      <c r="D214" s="53">
        <v>4312</v>
      </c>
      <c r="E214" s="1" t="s">
        <v>106</v>
      </c>
      <c r="F214" s="55">
        <v>149375</v>
      </c>
      <c r="G214" s="42">
        <v>0</v>
      </c>
      <c r="H214" s="52">
        <v>0</v>
      </c>
      <c r="I214" s="52">
        <v>0</v>
      </c>
      <c r="J214" s="55">
        <v>14400</v>
      </c>
      <c r="K214" s="42">
        <f t="shared" si="9"/>
        <v>9.640167364016737</v>
      </c>
      <c r="L214" s="42">
        <v>0</v>
      </c>
      <c r="N214" s="23"/>
      <c r="O214" s="24"/>
    </row>
    <row r="215" spans="1:15" ht="15">
      <c r="A215" s="1"/>
      <c r="B215" s="1"/>
      <c r="C215" s="1"/>
      <c r="D215" s="99">
        <v>431</v>
      </c>
      <c r="E215" s="99" t="s">
        <v>167</v>
      </c>
      <c r="F215" s="55"/>
      <c r="G215" s="42"/>
      <c r="H215" s="52"/>
      <c r="I215" s="55">
        <f>+I214</f>
        <v>0</v>
      </c>
      <c r="J215" s="55">
        <f>+J214</f>
        <v>14400</v>
      </c>
      <c r="K215" s="42"/>
      <c r="L215" s="102">
        <v>0</v>
      </c>
      <c r="N215" s="23"/>
      <c r="O215" s="24"/>
    </row>
    <row r="216" spans="1:15" ht="15">
      <c r="A216" s="1"/>
      <c r="B216" s="7" t="s">
        <v>157</v>
      </c>
      <c r="C216" s="7" t="s">
        <v>141</v>
      </c>
      <c r="D216" s="49"/>
      <c r="E216" s="49"/>
      <c r="F216" s="50">
        <f>SUM(F217)</f>
        <v>713903.39</v>
      </c>
      <c r="G216" s="50">
        <f>SUM(G217)</f>
        <v>19290625</v>
      </c>
      <c r="H216" s="50">
        <f>SUM(H217)</f>
        <v>19290625</v>
      </c>
      <c r="I216" s="50">
        <f>SUM(I217)</f>
        <v>19290625</v>
      </c>
      <c r="J216" s="50">
        <f>SUM(J217)</f>
        <v>216948.25</v>
      </c>
      <c r="K216" s="50">
        <f>+J216/F216*100</f>
        <v>30.389020844963348</v>
      </c>
      <c r="L216" s="50">
        <f t="shared" si="7"/>
        <v>1.124630487607322</v>
      </c>
      <c r="N216" s="23"/>
      <c r="O216" s="24"/>
    </row>
    <row r="217" spans="1:15" ht="15">
      <c r="A217" s="1"/>
      <c r="B217" s="1"/>
      <c r="C217" s="44">
        <v>5761</v>
      </c>
      <c r="D217" s="57" t="s">
        <v>142</v>
      </c>
      <c r="E217" s="44"/>
      <c r="F217" s="56">
        <f>SUM(F220)</f>
        <v>713903.39</v>
      </c>
      <c r="G217" s="56">
        <f>SUM(G220)</f>
        <v>19290625</v>
      </c>
      <c r="H217" s="56">
        <f>SUM(H218:H220)</f>
        <v>19290625</v>
      </c>
      <c r="I217" s="56">
        <f>+I219+I221</f>
        <v>19290625</v>
      </c>
      <c r="J217" s="56">
        <f>+J219+J221</f>
        <v>216948.25</v>
      </c>
      <c r="K217" s="72">
        <f>+J217/F217*100</f>
        <v>30.389020844963348</v>
      </c>
      <c r="L217" s="77">
        <f t="shared" si="7"/>
        <v>1.124630487607322</v>
      </c>
      <c r="N217" s="23"/>
      <c r="O217" s="24"/>
    </row>
    <row r="218" spans="1:15" ht="15">
      <c r="A218" s="1"/>
      <c r="B218" s="1"/>
      <c r="C218" s="44"/>
      <c r="D218" s="53">
        <v>3232</v>
      </c>
      <c r="E218" s="1" t="s">
        <v>102</v>
      </c>
      <c r="F218" s="52">
        <v>0</v>
      </c>
      <c r="G218" s="52">
        <v>0</v>
      </c>
      <c r="H218" s="52">
        <v>225000</v>
      </c>
      <c r="I218" s="52">
        <v>225000</v>
      </c>
      <c r="J218" s="52">
        <v>216948.25</v>
      </c>
      <c r="K218" s="42">
        <v>0</v>
      </c>
      <c r="L218" s="39">
        <f>+J218/I218*100</f>
        <v>96.42144444444445</v>
      </c>
      <c r="N218" s="23"/>
      <c r="O218" s="24"/>
    </row>
    <row r="219" spans="1:15" ht="15">
      <c r="A219" s="1"/>
      <c r="B219" s="1"/>
      <c r="C219" s="44"/>
      <c r="D219" s="99">
        <v>323</v>
      </c>
      <c r="E219" s="99" t="s">
        <v>163</v>
      </c>
      <c r="F219" s="52"/>
      <c r="G219" s="52"/>
      <c r="H219" s="52"/>
      <c r="I219" s="55">
        <f>+I218</f>
        <v>225000</v>
      </c>
      <c r="J219" s="52">
        <f>+J218</f>
        <v>216948.25</v>
      </c>
      <c r="K219" s="42"/>
      <c r="L219" s="102">
        <f>+J219/I219*100</f>
        <v>96.42144444444445</v>
      </c>
      <c r="N219" s="23"/>
      <c r="O219" s="24"/>
    </row>
    <row r="220" spans="1:15" ht="15">
      <c r="A220" s="1"/>
      <c r="B220" s="1"/>
      <c r="C220" s="1"/>
      <c r="D220" s="53">
        <v>4511</v>
      </c>
      <c r="E220" s="1" t="s">
        <v>101</v>
      </c>
      <c r="F220" s="55">
        <v>713903.39</v>
      </c>
      <c r="G220" s="42">
        <v>19290625</v>
      </c>
      <c r="H220" s="52">
        <v>19065625</v>
      </c>
      <c r="I220" s="52">
        <v>19065625</v>
      </c>
      <c r="J220" s="55">
        <v>0</v>
      </c>
      <c r="K220" s="42">
        <v>0</v>
      </c>
      <c r="L220" s="39">
        <f>+J220/I220*100</f>
        <v>0</v>
      </c>
      <c r="N220" s="23"/>
      <c r="O220" s="24"/>
    </row>
    <row r="221" spans="1:15" ht="15">
      <c r="A221" s="1"/>
      <c r="B221" s="1"/>
      <c r="C221" s="1"/>
      <c r="D221" s="99">
        <v>451</v>
      </c>
      <c r="E221" s="99" t="s">
        <v>101</v>
      </c>
      <c r="F221" s="55"/>
      <c r="G221" s="42"/>
      <c r="H221" s="52"/>
      <c r="I221" s="55">
        <f>+I220</f>
        <v>19065625</v>
      </c>
      <c r="J221" s="55">
        <f>+J220</f>
        <v>0</v>
      </c>
      <c r="K221" s="42"/>
      <c r="L221" s="102">
        <f>+J221/I221*100</f>
        <v>0</v>
      </c>
      <c r="N221" s="23"/>
      <c r="O221" s="24"/>
    </row>
    <row r="222" spans="1:15" ht="15.75" customHeight="1">
      <c r="A222" s="58" t="s">
        <v>57</v>
      </c>
      <c r="B222" s="58"/>
      <c r="C222" s="58"/>
      <c r="D222" s="58"/>
      <c r="E222" s="58"/>
      <c r="F222" s="60">
        <f>F216+F120+F75+F52+F10</f>
        <v>32647352.739999995</v>
      </c>
      <c r="G222" s="59">
        <f>G120+G75+G52+G10+G216</f>
        <v>55205755</v>
      </c>
      <c r="H222" s="59">
        <f>H120+H75+H52+H10</f>
        <v>39804223.5</v>
      </c>
      <c r="I222" s="60">
        <f>I216+I120+I75+I52+I10</f>
        <v>60790192.71</v>
      </c>
      <c r="J222" s="60">
        <f>J216+J120+J75+J52+J10</f>
        <v>36285559.15</v>
      </c>
      <c r="K222" s="41">
        <f>+J222/F222*100</f>
        <v>111.14395534294705</v>
      </c>
      <c r="L222" s="41">
        <f t="shared" si="7"/>
        <v>59.68982418447082</v>
      </c>
      <c r="N222" s="17"/>
      <c r="O222" s="18"/>
    </row>
    <row r="223" spans="1:15" ht="15">
      <c r="A223" s="1"/>
      <c r="B223" s="1"/>
      <c r="C223" s="1"/>
      <c r="D223" s="1"/>
      <c r="E223" s="1"/>
      <c r="F223" s="1"/>
      <c r="G223" s="42"/>
      <c r="H223" s="1"/>
      <c r="I223" s="1"/>
      <c r="J223" s="1"/>
      <c r="K223" s="76"/>
      <c r="L223" s="1"/>
      <c r="N223" s="25"/>
      <c r="O223" s="25"/>
    </row>
    <row r="224" spans="1:15" ht="15">
      <c r="A224" s="1"/>
      <c r="B224" s="1"/>
      <c r="C224" s="1"/>
      <c r="D224" s="1"/>
      <c r="E224" s="1"/>
      <c r="F224" s="1"/>
      <c r="G224" s="1"/>
      <c r="H224" s="1"/>
      <c r="I224" s="1"/>
      <c r="J224" s="3"/>
      <c r="K224" s="78"/>
      <c r="L224" s="1"/>
      <c r="N224" s="26"/>
      <c r="O224" s="26"/>
    </row>
    <row r="225" spans="1:15" ht="24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76"/>
      <c r="L225" s="1"/>
      <c r="N225" s="26"/>
      <c r="O225" s="26"/>
    </row>
    <row r="226" spans="1:15" ht="20.25" customHeight="1">
      <c r="A226" s="97" t="s">
        <v>135</v>
      </c>
      <c r="B226" s="97"/>
      <c r="C226" s="97"/>
      <c r="D226" s="97"/>
      <c r="E226" s="97"/>
      <c r="F226" s="97"/>
      <c r="G226" s="97"/>
      <c r="H226" s="97"/>
      <c r="I226" s="97"/>
      <c r="J226" s="53"/>
      <c r="K226" s="83"/>
      <c r="L226" s="53"/>
      <c r="N226" s="26"/>
      <c r="O226" s="26"/>
    </row>
    <row r="227" spans="1:15" ht="34.5" customHeight="1">
      <c r="A227" s="45" t="s">
        <v>56</v>
      </c>
      <c r="B227" s="45" t="s">
        <v>116</v>
      </c>
      <c r="C227" s="45" t="s">
        <v>53</v>
      </c>
      <c r="D227" s="45" t="s">
        <v>61</v>
      </c>
      <c r="E227" s="45" t="str">
        <f>CONCATENATE("Naziv"," ",D227)</f>
        <v>Naziv Konto 4. razina</v>
      </c>
      <c r="F227" s="45" t="s">
        <v>137</v>
      </c>
      <c r="G227" s="45" t="s">
        <v>149</v>
      </c>
      <c r="H227" s="45" t="s">
        <v>150</v>
      </c>
      <c r="I227" s="62" t="s">
        <v>151</v>
      </c>
      <c r="J227" s="45" t="s">
        <v>152</v>
      </c>
      <c r="K227" s="45" t="s">
        <v>125</v>
      </c>
      <c r="L227" s="45" t="s">
        <v>126</v>
      </c>
      <c r="N227" s="35"/>
      <c r="O227" s="35"/>
    </row>
    <row r="228" spans="1:15" ht="15.75" customHeight="1">
      <c r="A228" s="61">
        <v>1</v>
      </c>
      <c r="B228" s="61">
        <v>2</v>
      </c>
      <c r="C228" s="61">
        <v>3</v>
      </c>
      <c r="D228" s="61">
        <v>4</v>
      </c>
      <c r="E228" s="61">
        <v>5</v>
      </c>
      <c r="F228" s="61">
        <v>6</v>
      </c>
      <c r="G228" s="61">
        <v>7</v>
      </c>
      <c r="H228" s="61">
        <v>8</v>
      </c>
      <c r="I228" s="74">
        <v>9</v>
      </c>
      <c r="J228" s="61">
        <v>10</v>
      </c>
      <c r="K228" s="62" t="s">
        <v>127</v>
      </c>
      <c r="L228" s="62" t="s">
        <v>128</v>
      </c>
      <c r="N228" s="37"/>
      <c r="O228" s="37"/>
    </row>
    <row r="229" spans="1:15" ht="15.75">
      <c r="A229" s="63" t="s">
        <v>4</v>
      </c>
      <c r="B229" s="64" t="s">
        <v>85</v>
      </c>
      <c r="C229" s="65"/>
      <c r="D229" s="65"/>
      <c r="E229" s="65"/>
      <c r="F229" s="66">
        <f>F231+F240+F253+F261+F291</f>
        <v>35182569.99</v>
      </c>
      <c r="G229" s="66">
        <f>G231+G240+G253+G261+G291</f>
        <v>52786905</v>
      </c>
      <c r="H229" s="66">
        <f>H231+H240+H253+H261+H291</f>
        <v>55115113</v>
      </c>
      <c r="I229" s="66">
        <f>I231+I240+I253+I261+I291</f>
        <v>56810457.21</v>
      </c>
      <c r="J229" s="66">
        <f>J231+J240+J253+J261+J291</f>
        <v>35139929.46</v>
      </c>
      <c r="K229" s="66">
        <f>+J229/F229*100</f>
        <v>99.87880211703659</v>
      </c>
      <c r="L229" s="66">
        <f>J229/I229*100</f>
        <v>61.85468518604799</v>
      </c>
      <c r="M229" s="75"/>
      <c r="N229" s="27"/>
      <c r="O229" s="20"/>
    </row>
    <row r="230" spans="1:15" ht="15.75" hidden="1">
      <c r="A230" s="85"/>
      <c r="B230" s="86"/>
      <c r="C230" s="6"/>
      <c r="D230" s="6"/>
      <c r="E230" s="6"/>
      <c r="F230" s="42"/>
      <c r="G230" s="39"/>
      <c r="H230" s="39"/>
      <c r="I230" s="10"/>
      <c r="J230" s="42"/>
      <c r="K230" s="72" t="e">
        <f>J230/#REF!*100</f>
        <v>#REF!</v>
      </c>
      <c r="L230" s="42" t="e">
        <f aca="true" t="shared" si="10" ref="L230:L278">J230/I230*100</f>
        <v>#DIV/0!</v>
      </c>
      <c r="N230" s="28"/>
      <c r="O230" s="29"/>
    </row>
    <row r="231" spans="1:15" ht="15">
      <c r="A231" s="38"/>
      <c r="B231" s="7" t="s">
        <v>153</v>
      </c>
      <c r="C231" s="7" t="s">
        <v>97</v>
      </c>
      <c r="D231" s="7"/>
      <c r="E231" s="8"/>
      <c r="F231" s="9">
        <f>SUM(F233)</f>
        <v>3143944.41</v>
      </c>
      <c r="G231" s="9">
        <f>SUM(G233)</f>
        <v>3756875</v>
      </c>
      <c r="H231" s="9">
        <f>SUM(H233)</f>
        <v>3756875</v>
      </c>
      <c r="I231" s="9">
        <f>SUM(I233)</f>
        <v>3756875</v>
      </c>
      <c r="J231" s="9">
        <f>SUM(J233)</f>
        <v>1756498.27</v>
      </c>
      <c r="K231" s="9">
        <f>+J231/F231*100</f>
        <v>55.86925342614438</v>
      </c>
      <c r="L231" s="9">
        <f t="shared" si="10"/>
        <v>46.75423776409915</v>
      </c>
      <c r="N231" s="30"/>
      <c r="O231" s="31"/>
    </row>
    <row r="232" spans="1:15" ht="15" hidden="1">
      <c r="A232" s="67"/>
      <c r="B232" s="67"/>
      <c r="C232" s="6"/>
      <c r="D232" s="6"/>
      <c r="E232" s="6"/>
      <c r="F232" s="42"/>
      <c r="G232" s="39"/>
      <c r="H232" s="39"/>
      <c r="I232" s="10"/>
      <c r="J232" s="42"/>
      <c r="K232" s="72" t="e">
        <f>J232/#REF!*100</f>
        <v>#REF!</v>
      </c>
      <c r="L232" s="42" t="e">
        <f t="shared" si="10"/>
        <v>#DIV/0!</v>
      </c>
      <c r="N232" s="32"/>
      <c r="O232" s="24"/>
    </row>
    <row r="233" spans="1:15" ht="15">
      <c r="A233" s="38"/>
      <c r="B233" s="25"/>
      <c r="C233" s="67" t="s">
        <v>1</v>
      </c>
      <c r="D233" s="67" t="s">
        <v>68</v>
      </c>
      <c r="E233" s="67"/>
      <c r="F233" s="72">
        <f>SUM(F235:F236)</f>
        <v>3143944.41</v>
      </c>
      <c r="G233" s="68">
        <f>SUM(G235:G236)</f>
        <v>3756875</v>
      </c>
      <c r="H233" s="68">
        <f>SUM(H235:H236)</f>
        <v>3756875</v>
      </c>
      <c r="I233" s="72">
        <f>+I239</f>
        <v>3756875</v>
      </c>
      <c r="J233" s="72">
        <f>+J239</f>
        <v>1756498.27</v>
      </c>
      <c r="K233" s="72">
        <f>+J233/F233*100</f>
        <v>55.86925342614438</v>
      </c>
      <c r="L233" s="72">
        <f t="shared" si="10"/>
        <v>46.75423776409915</v>
      </c>
      <c r="N233" s="11"/>
      <c r="O233" s="12"/>
    </row>
    <row r="234" spans="1:15" ht="15" hidden="1">
      <c r="A234" s="38"/>
      <c r="B234" s="25"/>
      <c r="C234" s="67"/>
      <c r="D234" s="67"/>
      <c r="E234" s="67"/>
      <c r="F234" s="42"/>
      <c r="G234" s="68"/>
      <c r="H234" s="68"/>
      <c r="I234" s="69"/>
      <c r="J234" s="42"/>
      <c r="K234" s="72" t="e">
        <f>J234/#REF!*100</f>
        <v>#REF!</v>
      </c>
      <c r="L234" s="42" t="e">
        <f t="shared" si="10"/>
        <v>#DIV/0!</v>
      </c>
      <c r="N234" s="11"/>
      <c r="O234" s="12"/>
    </row>
    <row r="235" spans="1:15" ht="15">
      <c r="A235" s="38"/>
      <c r="B235" s="25"/>
      <c r="C235" s="67"/>
      <c r="D235" s="25" t="s">
        <v>50</v>
      </c>
      <c r="E235" s="25" t="s">
        <v>109</v>
      </c>
      <c r="F235" s="42">
        <v>893071.68</v>
      </c>
      <c r="G235" s="71">
        <v>1165500</v>
      </c>
      <c r="H235" s="71">
        <v>1143500</v>
      </c>
      <c r="I235" s="32">
        <v>1143500</v>
      </c>
      <c r="J235" s="42">
        <v>1158385.14</v>
      </c>
      <c r="K235" s="42">
        <f>+J235/F235*100</f>
        <v>129.70796924161786</v>
      </c>
      <c r="L235" s="42">
        <f t="shared" si="10"/>
        <v>101.30171753388717</v>
      </c>
      <c r="N235" s="11"/>
      <c r="O235" s="12"/>
    </row>
    <row r="236" spans="1:15" ht="15">
      <c r="A236" s="38"/>
      <c r="B236" s="25"/>
      <c r="C236" s="67"/>
      <c r="D236" s="25" t="s">
        <v>51</v>
      </c>
      <c r="E236" s="25" t="s">
        <v>111</v>
      </c>
      <c r="F236" s="42">
        <v>2250872.73</v>
      </c>
      <c r="G236" s="71">
        <v>2591375</v>
      </c>
      <c r="H236" s="71">
        <v>2613375</v>
      </c>
      <c r="I236" s="32">
        <v>2613375</v>
      </c>
      <c r="J236" s="42">
        <v>598113.13</v>
      </c>
      <c r="K236" s="42">
        <f>+J236/F236*100</f>
        <v>26.572498836928908</v>
      </c>
      <c r="L236" s="42">
        <f t="shared" si="10"/>
        <v>22.8866171138853</v>
      </c>
      <c r="N236" s="11"/>
      <c r="O236" s="12"/>
    </row>
    <row r="237" spans="1:15" ht="15" hidden="1">
      <c r="A237" s="38"/>
      <c r="B237" s="25"/>
      <c r="C237" s="67">
        <v>3</v>
      </c>
      <c r="D237" s="67"/>
      <c r="E237" s="67"/>
      <c r="F237" s="42"/>
      <c r="G237" s="68"/>
      <c r="H237" s="68"/>
      <c r="I237" s="69"/>
      <c r="J237" s="42"/>
      <c r="K237" s="42" t="e">
        <f>+J237/F237*100</f>
        <v>#DIV/0!</v>
      </c>
      <c r="L237" s="42" t="e">
        <f t="shared" si="10"/>
        <v>#DIV/0!</v>
      </c>
      <c r="N237" s="11"/>
      <c r="O237" s="12"/>
    </row>
    <row r="238" spans="1:15" ht="15" hidden="1">
      <c r="A238" s="38"/>
      <c r="B238" s="38"/>
      <c r="C238" s="1">
        <v>2</v>
      </c>
      <c r="D238" s="1"/>
      <c r="E238" s="1"/>
      <c r="F238" s="42"/>
      <c r="G238" s="42"/>
      <c r="H238" s="42"/>
      <c r="I238" s="52"/>
      <c r="J238" s="42"/>
      <c r="K238" s="42" t="e">
        <f>+J238/F238*100</f>
        <v>#DIV/0!</v>
      </c>
      <c r="L238" s="42" t="e">
        <f t="shared" si="10"/>
        <v>#DIV/0!</v>
      </c>
      <c r="N238" s="33"/>
      <c r="O238" s="34"/>
    </row>
    <row r="239" spans="1:15" ht="29.25">
      <c r="A239" s="38"/>
      <c r="B239" s="38"/>
      <c r="C239" s="1"/>
      <c r="D239" s="101">
        <v>671</v>
      </c>
      <c r="E239" s="103" t="s">
        <v>174</v>
      </c>
      <c r="F239" s="42"/>
      <c r="G239" s="42"/>
      <c r="H239" s="42"/>
      <c r="I239" s="102">
        <f>SUM(I235:I238)</f>
        <v>3756875</v>
      </c>
      <c r="J239" s="102">
        <f>SUM(J235:J238)</f>
        <v>1756498.27</v>
      </c>
      <c r="K239" s="42"/>
      <c r="L239" s="102">
        <f>+J239/I239*100</f>
        <v>46.75423776409915</v>
      </c>
      <c r="N239" s="33"/>
      <c r="O239" s="34"/>
    </row>
    <row r="240" spans="1:15" s="84" customFormat="1" ht="15">
      <c r="A240" s="25"/>
      <c r="B240" s="7" t="s">
        <v>154</v>
      </c>
      <c r="C240" s="7" t="s">
        <v>104</v>
      </c>
      <c r="D240" s="7"/>
      <c r="E240" s="8"/>
      <c r="F240" s="9">
        <f>SUM(F245)</f>
        <v>2950164.5</v>
      </c>
      <c r="G240" s="9">
        <f>SUM(G245)</f>
        <v>1050000</v>
      </c>
      <c r="H240" s="9">
        <f>SUM(H245)</f>
        <v>1873852</v>
      </c>
      <c r="I240" s="9">
        <f>+I242+I245</f>
        <v>2949196.21</v>
      </c>
      <c r="J240" s="9">
        <f>SUM(J245)+J242</f>
        <v>1749034.72</v>
      </c>
      <c r="K240" s="9">
        <f>+J240/F240*100</f>
        <v>59.2860065938696</v>
      </c>
      <c r="L240" s="9">
        <f t="shared" si="10"/>
        <v>59.30547157457523</v>
      </c>
      <c r="N240" s="30"/>
      <c r="O240" s="31"/>
    </row>
    <row r="241" spans="1:15" s="84" customFormat="1" ht="15" hidden="1">
      <c r="A241" s="67"/>
      <c r="B241" s="67"/>
      <c r="C241" s="6"/>
      <c r="D241" s="6"/>
      <c r="E241" s="6"/>
      <c r="F241" s="39"/>
      <c r="G241" s="39"/>
      <c r="H241" s="39"/>
      <c r="I241" s="10"/>
      <c r="J241" s="39"/>
      <c r="K241" s="77" t="e">
        <f>J241/#REF!*100</f>
        <v>#REF!</v>
      </c>
      <c r="L241" s="39" t="e">
        <f t="shared" si="10"/>
        <v>#DIV/0!</v>
      </c>
      <c r="N241" s="32"/>
      <c r="O241" s="24"/>
    </row>
    <row r="242" spans="1:15" s="84" customFormat="1" ht="15">
      <c r="A242" s="67"/>
      <c r="B242" s="67"/>
      <c r="C242" s="83">
        <v>51</v>
      </c>
      <c r="D242" s="76" t="s">
        <v>140</v>
      </c>
      <c r="E242" s="6"/>
      <c r="F242" s="39">
        <f>+F243</f>
        <v>0</v>
      </c>
      <c r="G242" s="39">
        <f>+G243</f>
        <v>0</v>
      </c>
      <c r="H242" s="39">
        <f>+H243</f>
        <v>0</v>
      </c>
      <c r="I242" s="77">
        <f>+I243</f>
        <v>2396.32</v>
      </c>
      <c r="J242" s="77">
        <f>+J244</f>
        <v>2396.32</v>
      </c>
      <c r="K242" s="77">
        <v>0</v>
      </c>
      <c r="L242" s="77">
        <f>+J242/I242*100</f>
        <v>100</v>
      </c>
      <c r="N242" s="32"/>
      <c r="O242" s="24"/>
    </row>
    <row r="243" spans="1:15" s="84" customFormat="1" ht="15">
      <c r="A243" s="67"/>
      <c r="B243" s="67"/>
      <c r="C243" s="6"/>
      <c r="D243" s="73">
        <v>6323</v>
      </c>
      <c r="E243" s="6" t="s">
        <v>143</v>
      </c>
      <c r="F243" s="39">
        <v>0</v>
      </c>
      <c r="G243" s="39">
        <v>0</v>
      </c>
      <c r="H243" s="39">
        <v>0</v>
      </c>
      <c r="I243" s="10">
        <v>2396.32</v>
      </c>
      <c r="J243" s="39">
        <v>2396.32</v>
      </c>
      <c r="K243" s="39">
        <v>0</v>
      </c>
      <c r="L243" s="39">
        <f aca="true" t="shared" si="11" ref="L243:L251">+J243/I243*100</f>
        <v>100</v>
      </c>
      <c r="N243" s="32"/>
      <c r="O243" s="24"/>
    </row>
    <row r="244" spans="1:15" s="84" customFormat="1" ht="29.25">
      <c r="A244" s="67"/>
      <c r="B244" s="67"/>
      <c r="C244" s="6"/>
      <c r="D244" s="104">
        <v>632</v>
      </c>
      <c r="E244" s="103" t="s">
        <v>175</v>
      </c>
      <c r="F244" s="39"/>
      <c r="G244" s="39"/>
      <c r="H244" s="39"/>
      <c r="I244" s="108">
        <f>+I243</f>
        <v>2396.32</v>
      </c>
      <c r="J244" s="108">
        <f>+J243</f>
        <v>2396.32</v>
      </c>
      <c r="K244" s="39"/>
      <c r="L244" s="102">
        <f>+J244/I244*100</f>
        <v>100</v>
      </c>
      <c r="N244" s="32"/>
      <c r="O244" s="24"/>
    </row>
    <row r="245" spans="1:15" s="84" customFormat="1" ht="15">
      <c r="A245" s="25"/>
      <c r="B245" s="25"/>
      <c r="C245" s="67" t="s">
        <v>3</v>
      </c>
      <c r="D245" s="67" t="s">
        <v>82</v>
      </c>
      <c r="E245" s="67"/>
      <c r="F245" s="77">
        <f>SUM(F247:F251)</f>
        <v>2950164.5</v>
      </c>
      <c r="G245" s="68">
        <f>SUM(G247:G250)</f>
        <v>1050000</v>
      </c>
      <c r="H245" s="68">
        <f>SUM(H247:H250)</f>
        <v>1873852</v>
      </c>
      <c r="I245" s="69">
        <f>SUM(I247:I251)</f>
        <v>2946799.89</v>
      </c>
      <c r="J245" s="77">
        <f>+J252</f>
        <v>1746638.4</v>
      </c>
      <c r="K245" s="77">
        <f>+J245/F245*100</f>
        <v>59.204779936847586</v>
      </c>
      <c r="L245" s="77">
        <f t="shared" si="11"/>
        <v>59.272379028085275</v>
      </c>
      <c r="M245" s="93"/>
      <c r="N245" s="11"/>
      <c r="O245" s="12"/>
    </row>
    <row r="246" spans="1:15" s="84" customFormat="1" ht="15" hidden="1">
      <c r="A246" s="25"/>
      <c r="B246" s="25"/>
      <c r="C246" s="67"/>
      <c r="D246" s="67"/>
      <c r="E246" s="67"/>
      <c r="F246" s="39"/>
      <c r="G246" s="68"/>
      <c r="H246" s="68"/>
      <c r="I246" s="69"/>
      <c r="J246" s="39"/>
      <c r="K246" s="77" t="e">
        <f aca="true" t="shared" si="12" ref="K246:K251">+J246/F246*100</f>
        <v>#DIV/0!</v>
      </c>
      <c r="L246" s="39" t="e">
        <f t="shared" si="11"/>
        <v>#DIV/0!</v>
      </c>
      <c r="N246" s="11"/>
      <c r="O246" s="12"/>
    </row>
    <row r="247" spans="1:15" s="84" customFormat="1" ht="15">
      <c r="A247" s="25"/>
      <c r="B247" s="25"/>
      <c r="C247" s="67"/>
      <c r="D247" s="25" t="s">
        <v>47</v>
      </c>
      <c r="E247" s="25" t="s">
        <v>108</v>
      </c>
      <c r="F247" s="39">
        <f>304820.62+243500+9600+30000+28053+30000+20374</f>
        <v>666347.62</v>
      </c>
      <c r="G247" s="71">
        <v>900000</v>
      </c>
      <c r="H247" s="71">
        <v>873852</v>
      </c>
      <c r="I247" s="32">
        <v>1042899.18</v>
      </c>
      <c r="J247" s="39">
        <f>30183+2400+162460.21+630987.3</f>
        <v>826030.51</v>
      </c>
      <c r="K247" s="39">
        <f t="shared" si="12"/>
        <v>123.96390190453445</v>
      </c>
      <c r="L247" s="39">
        <f t="shared" si="11"/>
        <v>79.20521233893385</v>
      </c>
      <c r="N247" s="11"/>
      <c r="O247" s="12"/>
    </row>
    <row r="248" spans="1:15" s="84" customFormat="1" ht="15" hidden="1">
      <c r="A248" s="25"/>
      <c r="B248" s="25"/>
      <c r="C248" s="67">
        <v>3</v>
      </c>
      <c r="D248" s="67"/>
      <c r="E248" s="67"/>
      <c r="F248" s="39"/>
      <c r="G248" s="68"/>
      <c r="H248" s="68"/>
      <c r="I248" s="69"/>
      <c r="J248" s="39"/>
      <c r="K248" s="39" t="e">
        <f t="shared" si="12"/>
        <v>#DIV/0!</v>
      </c>
      <c r="L248" s="39" t="e">
        <f t="shared" si="11"/>
        <v>#DIV/0!</v>
      </c>
      <c r="N248" s="11"/>
      <c r="O248" s="12"/>
    </row>
    <row r="249" spans="1:15" s="84" customFormat="1" ht="15" hidden="1">
      <c r="A249" s="25"/>
      <c r="B249" s="25"/>
      <c r="C249" s="6">
        <v>2</v>
      </c>
      <c r="D249" s="6"/>
      <c r="E249" s="6"/>
      <c r="F249" s="39"/>
      <c r="G249" s="39"/>
      <c r="H249" s="39"/>
      <c r="I249" s="10"/>
      <c r="J249" s="39"/>
      <c r="K249" s="39" t="e">
        <f t="shared" si="12"/>
        <v>#DIV/0!</v>
      </c>
      <c r="L249" s="39" t="e">
        <f t="shared" si="11"/>
        <v>#DIV/0!</v>
      </c>
      <c r="N249" s="33"/>
      <c r="O249" s="34"/>
    </row>
    <row r="250" spans="1:15" s="84" customFormat="1" ht="15">
      <c r="A250" s="25"/>
      <c r="B250" s="25"/>
      <c r="C250" s="6"/>
      <c r="D250" s="73">
        <v>6392</v>
      </c>
      <c r="E250" s="6" t="s">
        <v>146</v>
      </c>
      <c r="F250" s="39">
        <v>556500</v>
      </c>
      <c r="G250" s="39">
        <v>150000</v>
      </c>
      <c r="H250" s="39">
        <v>1000000</v>
      </c>
      <c r="I250" s="10">
        <v>1000000</v>
      </c>
      <c r="J250" s="39">
        <v>0</v>
      </c>
      <c r="K250" s="39">
        <f t="shared" si="12"/>
        <v>0</v>
      </c>
      <c r="L250" s="39">
        <f t="shared" si="11"/>
        <v>0</v>
      </c>
      <c r="N250" s="33"/>
      <c r="O250" s="34"/>
    </row>
    <row r="251" spans="1:15" s="84" customFormat="1" ht="15">
      <c r="A251" s="25"/>
      <c r="B251" s="25"/>
      <c r="C251" s="6"/>
      <c r="D251" s="73">
        <v>6393</v>
      </c>
      <c r="E251" s="25" t="s">
        <v>147</v>
      </c>
      <c r="F251" s="39">
        <v>1727316.88</v>
      </c>
      <c r="G251" s="39">
        <v>0</v>
      </c>
      <c r="H251" s="39">
        <v>0</v>
      </c>
      <c r="I251" s="10">
        <v>903900.71</v>
      </c>
      <c r="J251" s="39">
        <v>920607.89</v>
      </c>
      <c r="K251" s="39">
        <f t="shared" si="12"/>
        <v>53.296989143069105</v>
      </c>
      <c r="L251" s="39">
        <f t="shared" si="11"/>
        <v>101.84834239150007</v>
      </c>
      <c r="N251" s="33"/>
      <c r="O251" s="34"/>
    </row>
    <row r="252" spans="1:15" s="84" customFormat="1" ht="29.25">
      <c r="A252" s="25"/>
      <c r="B252" s="25"/>
      <c r="C252" s="6"/>
      <c r="D252" s="104">
        <v>639</v>
      </c>
      <c r="E252" s="103" t="s">
        <v>176</v>
      </c>
      <c r="F252" s="39"/>
      <c r="G252" s="39"/>
      <c r="H252" s="39"/>
      <c r="I252" s="108">
        <f>SUM(I247:I251)</f>
        <v>2946799.89</v>
      </c>
      <c r="J252" s="108">
        <f>SUM(J247:J251)</f>
        <v>1746638.4</v>
      </c>
      <c r="K252" s="39"/>
      <c r="L252" s="102">
        <f>+J252/I252*100</f>
        <v>59.272379028085275</v>
      </c>
      <c r="N252" s="33"/>
      <c r="O252" s="34"/>
    </row>
    <row r="253" spans="1:15" ht="15">
      <c r="A253" s="38"/>
      <c r="B253" s="7" t="s">
        <v>155</v>
      </c>
      <c r="C253" s="7" t="s">
        <v>96</v>
      </c>
      <c r="D253" s="7"/>
      <c r="E253" s="8"/>
      <c r="F253" s="9">
        <f>SUM(F255)</f>
        <v>26091970.66</v>
      </c>
      <c r="G253" s="9">
        <f>SUM(G255)</f>
        <v>26776011</v>
      </c>
      <c r="H253" s="9">
        <f>SUM(H255)</f>
        <v>28143761</v>
      </c>
      <c r="I253" s="9">
        <f>SUM(I255)</f>
        <v>28743761</v>
      </c>
      <c r="J253" s="9">
        <f>SUM(J255)</f>
        <v>28434258.46</v>
      </c>
      <c r="K253" s="9">
        <f>+J253/F253*100</f>
        <v>108.97704443455787</v>
      </c>
      <c r="L253" s="9">
        <f t="shared" si="10"/>
        <v>98.92323575888346</v>
      </c>
      <c r="N253" s="30"/>
      <c r="O253" s="31"/>
    </row>
    <row r="254" spans="1:15" ht="15" hidden="1">
      <c r="A254" s="67"/>
      <c r="B254" s="67"/>
      <c r="C254" s="6"/>
      <c r="D254" s="6"/>
      <c r="E254" s="6"/>
      <c r="F254" s="42"/>
      <c r="G254" s="39"/>
      <c r="H254" s="39"/>
      <c r="I254" s="10"/>
      <c r="J254" s="42"/>
      <c r="K254" s="72" t="e">
        <f>J254/#REF!*100</f>
        <v>#REF!</v>
      </c>
      <c r="L254" s="42" t="e">
        <f t="shared" si="10"/>
        <v>#DIV/0!</v>
      </c>
      <c r="N254" s="32"/>
      <c r="O254" s="24"/>
    </row>
    <row r="255" spans="1:15" ht="15">
      <c r="A255" s="38"/>
      <c r="B255" s="25"/>
      <c r="C255" s="67" t="s">
        <v>1</v>
      </c>
      <c r="D255" s="67" t="s">
        <v>68</v>
      </c>
      <c r="E255" s="67"/>
      <c r="F255" s="72">
        <f>SUM(F257)</f>
        <v>26091970.66</v>
      </c>
      <c r="G255" s="68">
        <f>SUM(G257)</f>
        <v>26776011</v>
      </c>
      <c r="H255" s="68">
        <f>SUM(H257)</f>
        <v>28143761</v>
      </c>
      <c r="I255" s="69">
        <f>SUM(I257)</f>
        <v>28743761</v>
      </c>
      <c r="J255" s="72">
        <f>+J260</f>
        <v>28434258.46</v>
      </c>
      <c r="K255" s="72">
        <f>+J255/F255*100</f>
        <v>108.97704443455787</v>
      </c>
      <c r="L255" s="42">
        <f t="shared" si="10"/>
        <v>98.92323575888346</v>
      </c>
      <c r="N255" s="11"/>
      <c r="O255" s="12"/>
    </row>
    <row r="256" spans="1:15" ht="15" hidden="1">
      <c r="A256" s="38"/>
      <c r="B256" s="25"/>
      <c r="C256" s="67"/>
      <c r="D256" s="67"/>
      <c r="E256" s="67"/>
      <c r="F256" s="42"/>
      <c r="G256" s="68"/>
      <c r="H256" s="68"/>
      <c r="I256" s="69"/>
      <c r="J256" s="42"/>
      <c r="K256" s="72" t="e">
        <f>+J256/F256*100</f>
        <v>#DIV/0!</v>
      </c>
      <c r="L256" s="42" t="e">
        <f t="shared" si="10"/>
        <v>#DIV/0!</v>
      </c>
      <c r="N256" s="11"/>
      <c r="O256" s="12"/>
    </row>
    <row r="257" spans="1:15" ht="15">
      <c r="A257" s="38"/>
      <c r="B257" s="25"/>
      <c r="C257" s="67"/>
      <c r="D257" s="25" t="s">
        <v>50</v>
      </c>
      <c r="E257" s="25" t="s">
        <v>109</v>
      </c>
      <c r="F257" s="42">
        <v>26091970.66</v>
      </c>
      <c r="G257" s="71">
        <v>26776011</v>
      </c>
      <c r="H257" s="71">
        <v>28143761</v>
      </c>
      <c r="I257" s="32">
        <v>28743761</v>
      </c>
      <c r="J257" s="42">
        <v>28434258.46</v>
      </c>
      <c r="K257" s="42">
        <f>+J257/F257*100</f>
        <v>108.97704443455787</v>
      </c>
      <c r="L257" s="42">
        <f t="shared" si="10"/>
        <v>98.92323575888346</v>
      </c>
      <c r="N257" s="11"/>
      <c r="O257" s="12"/>
    </row>
    <row r="258" spans="1:15" ht="15" hidden="1">
      <c r="A258" s="38"/>
      <c r="B258" s="25"/>
      <c r="C258" s="67">
        <v>3</v>
      </c>
      <c r="D258" s="67"/>
      <c r="E258" s="67"/>
      <c r="F258" s="42"/>
      <c r="G258" s="68"/>
      <c r="H258" s="68"/>
      <c r="I258" s="69"/>
      <c r="J258" s="42"/>
      <c r="K258" s="72" t="e">
        <f>J258/#REF!*100</f>
        <v>#REF!</v>
      </c>
      <c r="L258" s="42" t="e">
        <f t="shared" si="10"/>
        <v>#DIV/0!</v>
      </c>
      <c r="N258" s="11"/>
      <c r="O258" s="12"/>
    </row>
    <row r="259" spans="1:15" ht="15" hidden="1">
      <c r="A259" s="38"/>
      <c r="B259" s="38"/>
      <c r="C259" s="1">
        <v>2</v>
      </c>
      <c r="D259" s="1"/>
      <c r="E259" s="1"/>
      <c r="F259" s="42"/>
      <c r="G259" s="42"/>
      <c r="H259" s="42"/>
      <c r="I259" s="52"/>
      <c r="J259" s="42"/>
      <c r="K259" s="72" t="e">
        <f>J259/#REF!*100</f>
        <v>#REF!</v>
      </c>
      <c r="L259" s="42" t="e">
        <f t="shared" si="10"/>
        <v>#DIV/0!</v>
      </c>
      <c r="N259" s="33"/>
      <c r="O259" s="34"/>
    </row>
    <row r="260" spans="1:15" ht="29.25">
      <c r="A260" s="38"/>
      <c r="B260" s="38"/>
      <c r="C260" s="1"/>
      <c r="D260" s="101">
        <v>671</v>
      </c>
      <c r="E260" s="103" t="s">
        <v>174</v>
      </c>
      <c r="F260" s="42"/>
      <c r="G260" s="42"/>
      <c r="H260" s="42"/>
      <c r="I260" s="102">
        <f>+I257</f>
        <v>28743761</v>
      </c>
      <c r="J260" s="102">
        <f>+J257</f>
        <v>28434258.46</v>
      </c>
      <c r="K260" s="72"/>
      <c r="L260" s="102">
        <f>+J260/I260*100</f>
        <v>98.92323575888346</v>
      </c>
      <c r="N260" s="33"/>
      <c r="O260" s="34"/>
    </row>
    <row r="261" spans="1:15" ht="15">
      <c r="A261" s="38"/>
      <c r="B261" s="7" t="s">
        <v>156</v>
      </c>
      <c r="C261" s="7" t="s">
        <v>78</v>
      </c>
      <c r="D261" s="7"/>
      <c r="E261" s="8"/>
      <c r="F261" s="9">
        <f>F263+F277+F280+F283+F288</f>
        <v>2996490.42</v>
      </c>
      <c r="G261" s="9">
        <f>SUM(G263+G277+G283+G288)</f>
        <v>1913394</v>
      </c>
      <c r="H261" s="9">
        <f>SUM(H263+H277+H283+H288)</f>
        <v>2050000</v>
      </c>
      <c r="I261" s="9">
        <f>I263+I277+I280+I283+I288</f>
        <v>2070000</v>
      </c>
      <c r="J261" s="9">
        <f>J263+J277+J280+J283+J288</f>
        <v>3025781.7600000002</v>
      </c>
      <c r="K261" s="9">
        <f>+J261/F261*100</f>
        <v>100.97752156337614</v>
      </c>
      <c r="L261" s="9">
        <f t="shared" si="10"/>
        <v>146.173031884058</v>
      </c>
      <c r="N261" s="30"/>
      <c r="O261" s="31"/>
    </row>
    <row r="262" spans="1:15" ht="15" hidden="1">
      <c r="A262" s="67"/>
      <c r="B262" s="67"/>
      <c r="C262" s="6"/>
      <c r="D262" s="6"/>
      <c r="E262" s="6"/>
      <c r="F262" s="42"/>
      <c r="G262" s="39"/>
      <c r="H262" s="39"/>
      <c r="I262" s="10"/>
      <c r="J262" s="42"/>
      <c r="K262" s="72" t="e">
        <f>J262/#REF!*100</f>
        <v>#REF!</v>
      </c>
      <c r="L262" s="42" t="e">
        <f t="shared" si="10"/>
        <v>#DIV/0!</v>
      </c>
      <c r="N262" s="32"/>
      <c r="O262" s="24"/>
    </row>
    <row r="263" spans="1:15" ht="15">
      <c r="A263" s="38"/>
      <c r="B263" s="25"/>
      <c r="C263" s="67" t="s">
        <v>2</v>
      </c>
      <c r="D263" s="67" t="s">
        <v>63</v>
      </c>
      <c r="E263" s="67"/>
      <c r="F263" s="72">
        <f>SUM(F265:F269)</f>
        <v>2136901.63</v>
      </c>
      <c r="G263" s="68">
        <f>SUM(G265:G269)</f>
        <v>1500000</v>
      </c>
      <c r="H263" s="68">
        <f>SUM(H265:H269)</f>
        <v>1800000</v>
      </c>
      <c r="I263" s="72">
        <f>+I267+I274+I276</f>
        <v>1800000</v>
      </c>
      <c r="J263" s="72">
        <f>+J267+J274+J276</f>
        <v>2499841.89</v>
      </c>
      <c r="K263" s="72">
        <f>+J263/F263*100</f>
        <v>116.98441589002861</v>
      </c>
      <c r="L263" s="72">
        <f t="shared" si="10"/>
        <v>138.88010500000001</v>
      </c>
      <c r="N263" s="11"/>
      <c r="O263" s="12"/>
    </row>
    <row r="264" spans="1:15" ht="15" hidden="1">
      <c r="A264" s="38"/>
      <c r="B264" s="25"/>
      <c r="C264" s="67"/>
      <c r="D264" s="67"/>
      <c r="E264" s="67"/>
      <c r="F264" s="42"/>
      <c r="G264" s="68"/>
      <c r="H264" s="68"/>
      <c r="I264" s="69"/>
      <c r="J264" s="42"/>
      <c r="K264" s="72" t="e">
        <f aca="true" t="shared" si="13" ref="K264:K289">+J264/F264*100</f>
        <v>#DIV/0!</v>
      </c>
      <c r="L264" s="72" t="e">
        <f t="shared" si="10"/>
        <v>#DIV/0!</v>
      </c>
      <c r="N264" s="11"/>
      <c r="O264" s="12"/>
    </row>
    <row r="265" spans="1:15" ht="15">
      <c r="A265" s="38"/>
      <c r="B265" s="25"/>
      <c r="C265" s="67"/>
      <c r="D265" s="70">
        <v>6413</v>
      </c>
      <c r="E265" s="25" t="s">
        <v>132</v>
      </c>
      <c r="F265" s="42">
        <v>29.87</v>
      </c>
      <c r="G265" s="71">
        <v>100</v>
      </c>
      <c r="H265" s="71">
        <v>100</v>
      </c>
      <c r="I265" s="23">
        <v>100</v>
      </c>
      <c r="J265" s="42">
        <v>72.48</v>
      </c>
      <c r="K265" s="42">
        <f t="shared" si="13"/>
        <v>242.65148978908604</v>
      </c>
      <c r="L265" s="42">
        <f t="shared" si="10"/>
        <v>72.48</v>
      </c>
      <c r="N265" s="11"/>
      <c r="O265" s="12"/>
    </row>
    <row r="266" spans="1:15" ht="15">
      <c r="A266" s="38"/>
      <c r="B266" s="25"/>
      <c r="C266" s="67"/>
      <c r="D266" s="70">
        <v>6415</v>
      </c>
      <c r="E266" s="25" t="s">
        <v>133</v>
      </c>
      <c r="F266" s="42">
        <v>253.28</v>
      </c>
      <c r="G266" s="71">
        <v>1000</v>
      </c>
      <c r="H266" s="71">
        <v>1000</v>
      </c>
      <c r="I266" s="23">
        <v>1000</v>
      </c>
      <c r="J266" s="42">
        <v>2365.29</v>
      </c>
      <c r="K266" s="42">
        <f t="shared" si="13"/>
        <v>933.8637081490839</v>
      </c>
      <c r="L266" s="42">
        <f t="shared" si="10"/>
        <v>236.529</v>
      </c>
      <c r="M266" s="75"/>
      <c r="N266" s="11"/>
      <c r="O266" s="12"/>
    </row>
    <row r="267" spans="1:15" ht="15">
      <c r="A267" s="38"/>
      <c r="B267" s="25"/>
      <c r="C267" s="67"/>
      <c r="D267" s="105">
        <v>641</v>
      </c>
      <c r="E267" s="103" t="s">
        <v>177</v>
      </c>
      <c r="F267" s="42"/>
      <c r="G267" s="71"/>
      <c r="H267" s="71"/>
      <c r="I267" s="102">
        <f>SUM(I265:I266)</f>
        <v>1100</v>
      </c>
      <c r="J267" s="102">
        <f>SUM(J265:J266)</f>
        <v>2437.77</v>
      </c>
      <c r="K267" s="42"/>
      <c r="L267" s="102">
        <f>+J267/I267*100</f>
        <v>221.61545454545455</v>
      </c>
      <c r="M267" s="75"/>
      <c r="N267" s="11"/>
      <c r="O267" s="12"/>
    </row>
    <row r="268" spans="1:15" ht="15">
      <c r="A268" s="38"/>
      <c r="B268" s="25"/>
      <c r="C268" s="67"/>
      <c r="D268" s="25" t="s">
        <v>48</v>
      </c>
      <c r="E268" s="25" t="s">
        <v>76</v>
      </c>
      <c r="F268" s="42">
        <v>42937.6</v>
      </c>
      <c r="G268" s="71">
        <v>48900</v>
      </c>
      <c r="H268" s="71">
        <v>48900</v>
      </c>
      <c r="I268" s="32">
        <v>45900</v>
      </c>
      <c r="J268" s="42">
        <v>58442.39</v>
      </c>
      <c r="K268" s="42">
        <f t="shared" si="13"/>
        <v>136.11005272767923</v>
      </c>
      <c r="L268" s="42">
        <f t="shared" si="10"/>
        <v>127.32546840958605</v>
      </c>
      <c r="N268" s="11"/>
      <c r="O268" s="12"/>
    </row>
    <row r="269" spans="1:15" ht="15">
      <c r="A269" s="38"/>
      <c r="B269" s="25"/>
      <c r="C269" s="67"/>
      <c r="D269" s="25" t="s">
        <v>49</v>
      </c>
      <c r="E269" s="25" t="s">
        <v>88</v>
      </c>
      <c r="F269" s="42">
        <v>2093680.88</v>
      </c>
      <c r="G269" s="71">
        <v>1450000</v>
      </c>
      <c r="H269" s="71">
        <v>1750000</v>
      </c>
      <c r="I269" s="32">
        <v>1750000</v>
      </c>
      <c r="J269" s="42">
        <v>2436254.19</v>
      </c>
      <c r="K269" s="42">
        <f t="shared" si="13"/>
        <v>116.36225048776296</v>
      </c>
      <c r="L269" s="42">
        <f t="shared" si="10"/>
        <v>139.21452514285716</v>
      </c>
      <c r="N269" s="11"/>
      <c r="O269" s="12"/>
    </row>
    <row r="270" spans="1:15" ht="15" hidden="1">
      <c r="A270" s="38"/>
      <c r="B270" s="25"/>
      <c r="C270" s="67">
        <v>3</v>
      </c>
      <c r="D270" s="67"/>
      <c r="E270" s="67"/>
      <c r="F270" s="42"/>
      <c r="G270" s="68"/>
      <c r="H270" s="68"/>
      <c r="I270" s="69"/>
      <c r="J270" s="42"/>
      <c r="K270" s="42" t="e">
        <f t="shared" si="13"/>
        <v>#DIV/0!</v>
      </c>
      <c r="L270" s="42" t="e">
        <f t="shared" si="10"/>
        <v>#DIV/0!</v>
      </c>
      <c r="N270" s="11"/>
      <c r="O270" s="12"/>
    </row>
    <row r="271" spans="1:15" ht="15" hidden="1">
      <c r="A271" s="1"/>
      <c r="B271" s="1"/>
      <c r="C271" s="1">
        <v>2</v>
      </c>
      <c r="D271" s="1"/>
      <c r="E271" s="1"/>
      <c r="F271" s="42"/>
      <c r="G271" s="42"/>
      <c r="H271" s="42"/>
      <c r="I271" s="52"/>
      <c r="J271" s="42"/>
      <c r="K271" s="42" t="e">
        <f t="shared" si="13"/>
        <v>#DIV/0!</v>
      </c>
      <c r="L271" s="42" t="e">
        <f t="shared" si="10"/>
        <v>#DIV/0!</v>
      </c>
      <c r="N271" s="33"/>
      <c r="O271" s="34"/>
    </row>
    <row r="272" spans="1:15" ht="15" hidden="1">
      <c r="A272" s="1"/>
      <c r="B272" s="1"/>
      <c r="C272" s="1">
        <v>1</v>
      </c>
      <c r="D272" s="1"/>
      <c r="E272" s="1"/>
      <c r="F272" s="42"/>
      <c r="G272" s="42"/>
      <c r="H272" s="42"/>
      <c r="I272" s="52"/>
      <c r="J272" s="42"/>
      <c r="K272" s="42" t="e">
        <f t="shared" si="13"/>
        <v>#DIV/0!</v>
      </c>
      <c r="L272" s="42" t="e">
        <f t="shared" si="10"/>
        <v>#DIV/0!</v>
      </c>
      <c r="N272" s="33"/>
      <c r="O272" s="34"/>
    </row>
    <row r="273" spans="1:15" ht="15" hidden="1">
      <c r="A273" s="1"/>
      <c r="B273" s="1"/>
      <c r="C273" s="1" t="s">
        <v>0</v>
      </c>
      <c r="D273" s="1"/>
      <c r="E273" s="1"/>
      <c r="F273" s="42"/>
      <c r="G273" s="42"/>
      <c r="H273" s="42"/>
      <c r="I273" s="52"/>
      <c r="J273" s="42"/>
      <c r="K273" s="42" t="e">
        <f t="shared" si="13"/>
        <v>#DIV/0!</v>
      </c>
      <c r="L273" s="42" t="e">
        <f t="shared" si="10"/>
        <v>#DIV/0!</v>
      </c>
      <c r="N273" s="33"/>
      <c r="O273" s="34"/>
    </row>
    <row r="274" spans="1:15" ht="15">
      <c r="A274" s="1"/>
      <c r="B274" s="1"/>
      <c r="C274" s="1"/>
      <c r="D274" s="105">
        <v>661</v>
      </c>
      <c r="E274" s="103" t="s">
        <v>178</v>
      </c>
      <c r="F274" s="42"/>
      <c r="G274" s="42"/>
      <c r="H274" s="42"/>
      <c r="I274" s="102">
        <f>SUM(I268:I273)</f>
        <v>1795900</v>
      </c>
      <c r="J274" s="102">
        <f>SUM(J268:J273)</f>
        <v>2494696.58</v>
      </c>
      <c r="K274" s="42"/>
      <c r="L274" s="102">
        <f>+J274/I274*100</f>
        <v>138.91066206358929</v>
      </c>
      <c r="N274" s="33"/>
      <c r="O274" s="34"/>
    </row>
    <row r="275" spans="1:15" ht="15">
      <c r="A275" s="1"/>
      <c r="B275" s="1"/>
      <c r="C275" s="1"/>
      <c r="D275" s="53">
        <v>6831</v>
      </c>
      <c r="E275" s="1" t="s">
        <v>117</v>
      </c>
      <c r="F275" s="42">
        <v>0</v>
      </c>
      <c r="G275" s="42">
        <v>0</v>
      </c>
      <c r="H275" s="42">
        <v>0</v>
      </c>
      <c r="I275" s="52">
        <v>3000</v>
      </c>
      <c r="J275" s="42">
        <v>2707.54</v>
      </c>
      <c r="K275" s="42">
        <v>0</v>
      </c>
      <c r="L275" s="42">
        <f t="shared" si="10"/>
        <v>90.25133333333332</v>
      </c>
      <c r="M275" s="40"/>
      <c r="N275" s="33"/>
      <c r="O275" s="34"/>
    </row>
    <row r="276" spans="1:15" ht="15">
      <c r="A276" s="1"/>
      <c r="B276" s="1"/>
      <c r="C276" s="1"/>
      <c r="D276" s="105">
        <v>683</v>
      </c>
      <c r="E276" s="103" t="s">
        <v>117</v>
      </c>
      <c r="F276" s="42"/>
      <c r="G276" s="42"/>
      <c r="H276" s="42"/>
      <c r="I276" s="102">
        <f>+I275</f>
        <v>3000</v>
      </c>
      <c r="J276" s="102">
        <f>+J275</f>
        <v>2707.54</v>
      </c>
      <c r="K276" s="42"/>
      <c r="L276" s="102">
        <f>+J276/I276*100</f>
        <v>90.25133333333332</v>
      </c>
      <c r="M276" s="40"/>
      <c r="N276" s="33"/>
      <c r="O276" s="34"/>
    </row>
    <row r="277" spans="1:15" ht="15">
      <c r="A277" s="1"/>
      <c r="B277" s="1"/>
      <c r="C277" s="57">
        <v>43</v>
      </c>
      <c r="D277" s="1"/>
      <c r="E277" s="44" t="s">
        <v>117</v>
      </c>
      <c r="F277" s="72">
        <f>SUM(F278)</f>
        <v>245000</v>
      </c>
      <c r="G277" s="72">
        <f>SUM(G278)</f>
        <v>240000</v>
      </c>
      <c r="H277" s="72">
        <f>SUM(H278)</f>
        <v>250000</v>
      </c>
      <c r="I277" s="69">
        <f>SUM(I278)</f>
        <v>270000</v>
      </c>
      <c r="J277" s="72">
        <f>+J279</f>
        <v>304536.27</v>
      </c>
      <c r="K277" s="72">
        <f t="shared" si="13"/>
        <v>124.30051836734694</v>
      </c>
      <c r="L277" s="72">
        <f t="shared" si="10"/>
        <v>112.79121111111112</v>
      </c>
      <c r="M277" s="75"/>
      <c r="N277" s="33"/>
      <c r="O277" s="34"/>
    </row>
    <row r="278" spans="1:15" ht="15">
      <c r="A278" s="1"/>
      <c r="B278" s="1"/>
      <c r="C278" s="53"/>
      <c r="D278" s="70">
        <v>6526</v>
      </c>
      <c r="E278" s="25" t="s">
        <v>120</v>
      </c>
      <c r="F278" s="42">
        <v>245000</v>
      </c>
      <c r="G278" s="42">
        <v>240000</v>
      </c>
      <c r="H278" s="42">
        <v>250000</v>
      </c>
      <c r="I278" s="32">
        <v>270000</v>
      </c>
      <c r="J278" s="42">
        <v>304536.27</v>
      </c>
      <c r="K278" s="42">
        <f t="shared" si="13"/>
        <v>124.30051836734694</v>
      </c>
      <c r="L278" s="42">
        <f t="shared" si="10"/>
        <v>112.79121111111112</v>
      </c>
      <c r="N278" s="33"/>
      <c r="O278" s="34"/>
    </row>
    <row r="279" spans="1:15" ht="15">
      <c r="A279" s="1"/>
      <c r="B279" s="1"/>
      <c r="C279" s="53"/>
      <c r="D279" s="105">
        <v>652</v>
      </c>
      <c r="E279" s="103" t="s">
        <v>179</v>
      </c>
      <c r="F279" s="42"/>
      <c r="G279" s="42"/>
      <c r="H279" s="42"/>
      <c r="I279" s="102">
        <f>+I278</f>
        <v>270000</v>
      </c>
      <c r="J279" s="102">
        <f>+J278</f>
        <v>304536.27</v>
      </c>
      <c r="K279" s="42"/>
      <c r="L279" s="102">
        <f>+J279/I279*100</f>
        <v>112.79121111111112</v>
      </c>
      <c r="N279" s="33"/>
      <c r="O279" s="34"/>
    </row>
    <row r="280" spans="1:15" ht="15">
      <c r="A280" s="1"/>
      <c r="B280" s="1"/>
      <c r="C280" s="57">
        <v>51</v>
      </c>
      <c r="D280" s="70"/>
      <c r="E280" s="67" t="s">
        <v>140</v>
      </c>
      <c r="F280" s="72">
        <f>SUM(F281)</f>
        <v>42369.83</v>
      </c>
      <c r="G280" s="72">
        <v>0</v>
      </c>
      <c r="H280" s="72">
        <v>0</v>
      </c>
      <c r="I280" s="30">
        <f>SUM(I281)</f>
        <v>0</v>
      </c>
      <c r="J280" s="72">
        <f>+J282</f>
        <v>0</v>
      </c>
      <c r="K280" s="72">
        <f t="shared" si="13"/>
        <v>0</v>
      </c>
      <c r="L280" s="42">
        <v>0</v>
      </c>
      <c r="N280" s="33"/>
      <c r="O280" s="34"/>
    </row>
    <row r="281" spans="1:15" ht="15">
      <c r="A281" s="1"/>
      <c r="B281" s="1"/>
      <c r="C281" s="53"/>
      <c r="D281" s="70">
        <v>6323</v>
      </c>
      <c r="E281" s="25" t="s">
        <v>143</v>
      </c>
      <c r="F281" s="42">
        <v>42369.83</v>
      </c>
      <c r="G281" s="42">
        <v>0</v>
      </c>
      <c r="H281" s="42">
        <v>0</v>
      </c>
      <c r="I281" s="32">
        <v>0</v>
      </c>
      <c r="J281" s="42">
        <v>0</v>
      </c>
      <c r="K281" s="42">
        <f t="shared" si="13"/>
        <v>0</v>
      </c>
      <c r="L281" s="42">
        <v>0</v>
      </c>
      <c r="N281" s="33"/>
      <c r="O281" s="34"/>
    </row>
    <row r="282" spans="1:15" ht="29.25">
      <c r="A282" s="1"/>
      <c r="B282" s="1"/>
      <c r="C282" s="53"/>
      <c r="D282" s="104">
        <v>632</v>
      </c>
      <c r="E282" s="103" t="s">
        <v>175</v>
      </c>
      <c r="F282" s="42"/>
      <c r="G282" s="42"/>
      <c r="H282" s="42"/>
      <c r="I282" s="102">
        <f>+I281</f>
        <v>0</v>
      </c>
      <c r="J282" s="102">
        <f>+J281</f>
        <v>0</v>
      </c>
      <c r="K282" s="42"/>
      <c r="L282" s="102">
        <v>0</v>
      </c>
      <c r="N282" s="33"/>
      <c r="O282" s="34"/>
    </row>
    <row r="283" spans="1:15" s="84" customFormat="1" ht="15">
      <c r="A283" s="6"/>
      <c r="B283" s="6"/>
      <c r="C283" s="83">
        <v>52</v>
      </c>
      <c r="D283" s="70"/>
      <c r="E283" s="76" t="s">
        <v>118</v>
      </c>
      <c r="F283" s="77">
        <f>SUM(F284:F286)</f>
        <v>422843.95999999996</v>
      </c>
      <c r="G283" s="77">
        <f>SUM(G284:G286)</f>
        <v>173394</v>
      </c>
      <c r="H283" s="77">
        <f>SUM(H284:H286)</f>
        <v>0</v>
      </c>
      <c r="I283" s="77">
        <f>SUM(I284:I286)</f>
        <v>0</v>
      </c>
      <c r="J283" s="77">
        <f>+J285+J287</f>
        <v>207003.6</v>
      </c>
      <c r="K283" s="72">
        <f t="shared" si="13"/>
        <v>48.95508026175898</v>
      </c>
      <c r="L283" s="72">
        <v>0</v>
      </c>
      <c r="N283" s="33"/>
      <c r="O283" s="34"/>
    </row>
    <row r="284" spans="1:15" s="84" customFormat="1" ht="15">
      <c r="A284" s="6"/>
      <c r="B284" s="6"/>
      <c r="C284" s="73"/>
      <c r="D284" s="70">
        <v>6341</v>
      </c>
      <c r="E284" s="25" t="s">
        <v>121</v>
      </c>
      <c r="F284" s="39">
        <v>47492.67</v>
      </c>
      <c r="G284" s="39">
        <v>15137</v>
      </c>
      <c r="H284" s="39">
        <v>0</v>
      </c>
      <c r="I284" s="32">
        <v>0</v>
      </c>
      <c r="J284" s="39">
        <v>31050.54</v>
      </c>
      <c r="K284" s="42">
        <f t="shared" si="13"/>
        <v>65.37964700658017</v>
      </c>
      <c r="L284" s="42">
        <v>0</v>
      </c>
      <c r="N284" s="33"/>
      <c r="O284" s="34"/>
    </row>
    <row r="285" spans="1:15" s="84" customFormat="1" ht="15">
      <c r="A285" s="6"/>
      <c r="B285" s="6"/>
      <c r="C285" s="73"/>
      <c r="D285" s="105">
        <v>634</v>
      </c>
      <c r="E285" s="103" t="s">
        <v>180</v>
      </c>
      <c r="F285" s="39"/>
      <c r="G285" s="39"/>
      <c r="H285" s="39"/>
      <c r="I285" s="108">
        <f>+I284</f>
        <v>0</v>
      </c>
      <c r="J285" s="108">
        <f>+J284</f>
        <v>31050.54</v>
      </c>
      <c r="K285" s="42"/>
      <c r="L285" s="102">
        <v>0</v>
      </c>
      <c r="N285" s="33"/>
      <c r="O285" s="34"/>
    </row>
    <row r="286" spans="1:15" s="84" customFormat="1" ht="15">
      <c r="A286" s="6"/>
      <c r="B286" s="6"/>
      <c r="C286" s="73"/>
      <c r="D286" s="70">
        <v>6381</v>
      </c>
      <c r="E286" s="25" t="s">
        <v>122</v>
      </c>
      <c r="F286" s="39">
        <v>375351.29</v>
      </c>
      <c r="G286" s="39">
        <v>158257</v>
      </c>
      <c r="H286" s="39">
        <v>0</v>
      </c>
      <c r="I286" s="32">
        <v>0</v>
      </c>
      <c r="J286" s="39">
        <v>175953.06</v>
      </c>
      <c r="K286" s="42">
        <f t="shared" si="13"/>
        <v>46.87690296735093</v>
      </c>
      <c r="L286" s="42">
        <v>0</v>
      </c>
      <c r="N286" s="33"/>
      <c r="O286" s="34"/>
    </row>
    <row r="287" spans="1:15" s="84" customFormat="1" ht="15">
      <c r="A287" s="6"/>
      <c r="B287" s="6"/>
      <c r="C287" s="73"/>
      <c r="D287" s="105">
        <v>638</v>
      </c>
      <c r="E287" s="103" t="s">
        <v>181</v>
      </c>
      <c r="F287" s="39"/>
      <c r="G287" s="39"/>
      <c r="H287" s="39"/>
      <c r="I287" s="102">
        <f>+I286</f>
        <v>0</v>
      </c>
      <c r="J287" s="102">
        <f>+J286</f>
        <v>175953.06</v>
      </c>
      <c r="K287" s="42"/>
      <c r="L287" s="102">
        <v>0</v>
      </c>
      <c r="N287" s="33"/>
      <c r="O287" s="34"/>
    </row>
    <row r="288" spans="1:15" ht="15">
      <c r="A288" s="1"/>
      <c r="B288" s="1"/>
      <c r="C288" s="57">
        <v>61</v>
      </c>
      <c r="D288" s="70"/>
      <c r="E288" s="44" t="s">
        <v>119</v>
      </c>
      <c r="F288" s="72">
        <f>SUM(F289)</f>
        <v>149375</v>
      </c>
      <c r="G288" s="72">
        <f>SUM(G289)</f>
        <v>0</v>
      </c>
      <c r="H288" s="72">
        <v>0</v>
      </c>
      <c r="I288" s="30">
        <v>0</v>
      </c>
      <c r="J288" s="72">
        <f>+J290</f>
        <v>14400</v>
      </c>
      <c r="K288" s="72">
        <f t="shared" si="13"/>
        <v>9.640167364016737</v>
      </c>
      <c r="L288" s="72">
        <v>0</v>
      </c>
      <c r="N288" s="33"/>
      <c r="O288" s="34"/>
    </row>
    <row r="289" spans="1:15" ht="15">
      <c r="A289" s="1"/>
      <c r="B289" s="1"/>
      <c r="C289" s="1"/>
      <c r="D289" s="70">
        <v>6632</v>
      </c>
      <c r="E289" s="25" t="s">
        <v>123</v>
      </c>
      <c r="F289" s="42">
        <v>149375</v>
      </c>
      <c r="G289" s="42">
        <v>0</v>
      </c>
      <c r="H289" s="42">
        <v>0</v>
      </c>
      <c r="I289" s="32">
        <v>0</v>
      </c>
      <c r="J289" s="42">
        <v>14400</v>
      </c>
      <c r="K289" s="42">
        <f t="shared" si="13"/>
        <v>9.640167364016737</v>
      </c>
      <c r="L289" s="42">
        <v>0</v>
      </c>
      <c r="N289" s="33"/>
      <c r="O289" s="34"/>
    </row>
    <row r="290" spans="1:15" ht="29.25">
      <c r="A290" s="1"/>
      <c r="B290" s="1"/>
      <c r="C290" s="1"/>
      <c r="D290" s="105">
        <v>663</v>
      </c>
      <c r="E290" s="103" t="s">
        <v>182</v>
      </c>
      <c r="F290" s="42"/>
      <c r="G290" s="42"/>
      <c r="H290" s="42"/>
      <c r="I290" s="102">
        <f>+I289</f>
        <v>0</v>
      </c>
      <c r="J290" s="102">
        <f>+J289</f>
        <v>14400</v>
      </c>
      <c r="K290" s="42"/>
      <c r="L290" s="102">
        <v>0</v>
      </c>
      <c r="N290" s="33"/>
      <c r="O290" s="34"/>
    </row>
    <row r="291" spans="1:15" ht="15">
      <c r="A291" s="1"/>
      <c r="B291" s="7" t="s">
        <v>157</v>
      </c>
      <c r="C291" s="7" t="s">
        <v>141</v>
      </c>
      <c r="D291" s="49"/>
      <c r="E291" s="49"/>
      <c r="F291" s="9">
        <v>0</v>
      </c>
      <c r="G291" s="9">
        <f>SUM(G294+G306+G310+G315)</f>
        <v>19290625</v>
      </c>
      <c r="H291" s="9">
        <f>SUM(H292)</f>
        <v>19290625</v>
      </c>
      <c r="I291" s="9">
        <f>SUM(I292)</f>
        <v>19290625</v>
      </c>
      <c r="J291" s="9">
        <f>SUM(J292)</f>
        <v>174356.25</v>
      </c>
      <c r="K291" s="9">
        <v>0</v>
      </c>
      <c r="L291" s="9">
        <f>+J291/I291*100</f>
        <v>0.9038393001781954</v>
      </c>
      <c r="N291" s="33"/>
      <c r="O291" s="34"/>
    </row>
    <row r="292" spans="1:15" ht="15">
      <c r="A292" s="1"/>
      <c r="B292" s="1"/>
      <c r="C292" s="57">
        <v>5761</v>
      </c>
      <c r="D292" s="57" t="s">
        <v>142</v>
      </c>
      <c r="E292" s="44"/>
      <c r="F292" s="72">
        <v>0</v>
      </c>
      <c r="G292" s="30">
        <f>SUM(G293:G294)</f>
        <v>19290625</v>
      </c>
      <c r="H292" s="30">
        <f>SUM(H293:H294)</f>
        <v>19290625</v>
      </c>
      <c r="I292" s="30">
        <f>SUM(I293:I294)</f>
        <v>19290625</v>
      </c>
      <c r="J292" s="30">
        <f>+J295</f>
        <v>174356.25</v>
      </c>
      <c r="K292" s="81">
        <v>0</v>
      </c>
      <c r="L292" s="72">
        <f>+J292/I292*100</f>
        <v>0.9038393001781954</v>
      </c>
      <c r="N292" s="33"/>
      <c r="O292" s="34"/>
    </row>
    <row r="293" spans="1:15" ht="15">
      <c r="A293" s="1"/>
      <c r="B293" s="1"/>
      <c r="C293" s="57"/>
      <c r="D293" s="53">
        <v>6323</v>
      </c>
      <c r="E293" s="1" t="s">
        <v>143</v>
      </c>
      <c r="F293" s="42">
        <v>0</v>
      </c>
      <c r="G293" s="42">
        <v>0</v>
      </c>
      <c r="H293" s="42">
        <v>225000</v>
      </c>
      <c r="I293" s="32">
        <v>225000</v>
      </c>
      <c r="J293" s="42">
        <v>0</v>
      </c>
      <c r="K293" s="10">
        <v>0</v>
      </c>
      <c r="L293" s="42">
        <f>+J293/I293*100</f>
        <v>0</v>
      </c>
      <c r="N293" s="33"/>
      <c r="O293" s="34"/>
    </row>
    <row r="294" spans="1:15" ht="15">
      <c r="A294" s="1"/>
      <c r="B294" s="1"/>
      <c r="C294" s="1"/>
      <c r="D294" s="70">
        <v>6324</v>
      </c>
      <c r="E294" s="25" t="s">
        <v>144</v>
      </c>
      <c r="F294" s="42">
        <v>0</v>
      </c>
      <c r="G294" s="42">
        <v>19290625</v>
      </c>
      <c r="H294" s="42">
        <v>19065625</v>
      </c>
      <c r="I294" s="32">
        <v>19065625</v>
      </c>
      <c r="J294" s="42">
        <v>174356.25</v>
      </c>
      <c r="K294" s="10">
        <v>0</v>
      </c>
      <c r="L294" s="42">
        <f>+J294/I294*100</f>
        <v>0.9145058187182429</v>
      </c>
      <c r="M294" s="40"/>
      <c r="N294" s="33"/>
      <c r="O294" s="34"/>
    </row>
    <row r="295" spans="1:15" ht="29.25">
      <c r="A295" s="1"/>
      <c r="B295" s="1"/>
      <c r="C295" s="1"/>
      <c r="D295" s="104">
        <v>632</v>
      </c>
      <c r="E295" s="103" t="s">
        <v>175</v>
      </c>
      <c r="F295" s="42"/>
      <c r="G295" s="42"/>
      <c r="H295" s="42"/>
      <c r="I295" s="102">
        <f>+I293+I294</f>
        <v>19290625</v>
      </c>
      <c r="J295" s="102">
        <f>+J293+J294</f>
        <v>174356.25</v>
      </c>
      <c r="K295" s="10"/>
      <c r="L295" s="102">
        <f>+J295/I295*100</f>
        <v>0.9038393001781954</v>
      </c>
      <c r="M295" s="40"/>
      <c r="N295" s="33"/>
      <c r="O295" s="34"/>
    </row>
    <row r="296" spans="1:15" ht="15.75" customHeight="1">
      <c r="A296" s="5" t="s">
        <v>57</v>
      </c>
      <c r="B296" s="5"/>
      <c r="C296" s="5"/>
      <c r="D296" s="5"/>
      <c r="E296" s="5"/>
      <c r="F296" s="41">
        <f>F291+F261+F253+F240+F231</f>
        <v>35182569.989999995</v>
      </c>
      <c r="G296" s="41">
        <f>G291+G261+G253+G240+G231</f>
        <v>52786905</v>
      </c>
      <c r="H296" s="41">
        <f>H291+H261+H253+H240+H231</f>
        <v>55115113</v>
      </c>
      <c r="I296" s="41">
        <f>I291+I261+I253+I240+I231</f>
        <v>56810457.21</v>
      </c>
      <c r="J296" s="41">
        <f>J291+J261+J253+J240+J231</f>
        <v>35139929.46</v>
      </c>
      <c r="K296" s="41">
        <f>+J296/F296*100</f>
        <v>99.8788021170366</v>
      </c>
      <c r="L296" s="41">
        <f>+J296/I296*100</f>
        <v>61.85468518604799</v>
      </c>
      <c r="N296" s="30"/>
      <c r="O296" s="31"/>
    </row>
    <row r="297" spans="1:15" ht="15.75" customHeight="1">
      <c r="A297" s="5" t="s">
        <v>145</v>
      </c>
      <c r="B297" s="5"/>
      <c r="C297" s="5"/>
      <c r="D297" s="5"/>
      <c r="E297" s="5"/>
      <c r="F297" s="46">
        <f>F296-F222</f>
        <v>2535217.25</v>
      </c>
      <c r="G297" s="41"/>
      <c r="H297" s="41"/>
      <c r="I297" s="41"/>
      <c r="J297" s="46">
        <f>J296-J222</f>
        <v>-1145629.6899999976</v>
      </c>
      <c r="K297" s="41"/>
      <c r="L297" s="41"/>
      <c r="N297" s="30"/>
      <c r="O297" s="31"/>
    </row>
    <row r="298" spans="1:15" ht="15.75" customHeight="1">
      <c r="A298" s="5" t="s">
        <v>130</v>
      </c>
      <c r="B298" s="5"/>
      <c r="C298" s="5"/>
      <c r="D298" s="5"/>
      <c r="E298" s="5"/>
      <c r="F298" s="41">
        <v>2587005.74</v>
      </c>
      <c r="G298" s="41"/>
      <c r="H298" s="41"/>
      <c r="I298" s="41"/>
      <c r="J298" s="41">
        <v>5115338.74</v>
      </c>
      <c r="K298" s="41"/>
      <c r="L298" s="41"/>
      <c r="N298" s="30"/>
      <c r="O298" s="31"/>
    </row>
    <row r="299" spans="1:15" ht="15.75" customHeight="1">
      <c r="A299" s="5" t="s">
        <v>131</v>
      </c>
      <c r="B299" s="5"/>
      <c r="C299" s="5"/>
      <c r="D299" s="5"/>
      <c r="E299" s="5"/>
      <c r="F299" s="41">
        <f>+F298+F297</f>
        <v>5122222.99</v>
      </c>
      <c r="G299" s="41"/>
      <c r="H299" s="41"/>
      <c r="I299" s="41"/>
      <c r="J299" s="41">
        <f>+J298+J297</f>
        <v>3969709.0500000026</v>
      </c>
      <c r="K299" s="41"/>
      <c r="L299" s="41"/>
      <c r="N299" s="30"/>
      <c r="O299" s="31"/>
    </row>
    <row r="300" ht="15">
      <c r="J300" s="40"/>
    </row>
    <row r="301" spans="6:10" ht="15">
      <c r="F301" s="40"/>
      <c r="J301" s="40"/>
    </row>
    <row r="302" spans="6:10" ht="15">
      <c r="F302" s="40"/>
      <c r="G302" s="40"/>
      <c r="J302" s="40"/>
    </row>
  </sheetData>
  <sheetProtection/>
  <mergeCells count="4">
    <mergeCell ref="A4:O4"/>
    <mergeCell ref="A3:I3"/>
    <mergeCell ref="A226:I226"/>
    <mergeCell ref="A5:L5"/>
  </mergeCells>
  <conditionalFormatting sqref="P95:P97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40" r:id="rId1"/>
  <ignoredErrors>
    <ignoredError sqref="C263 C255 C245 C233" numberStoredAsText="1"/>
    <ignoredError sqref="H20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E16:E40"/>
  <sheetViews>
    <sheetView zoomScalePageLayoutView="0" workbookViewId="0" topLeftCell="A1">
      <selection activeCell="E16" sqref="E16:E41"/>
    </sheetView>
  </sheetViews>
  <sheetFormatPr defaultColWidth="9.140625" defaultRowHeight="15"/>
  <cols>
    <col min="5" max="5" width="23.421875" style="0" customWidth="1"/>
  </cols>
  <sheetData>
    <row r="16" ht="15">
      <c r="E16" s="42"/>
    </row>
    <row r="17" ht="15">
      <c r="E17" s="42"/>
    </row>
    <row r="18" ht="15">
      <c r="E18" s="42"/>
    </row>
    <row r="19" ht="15">
      <c r="E19" s="42"/>
    </row>
    <row r="20" ht="15">
      <c r="E20" s="42"/>
    </row>
    <row r="21" ht="15">
      <c r="E21" s="42"/>
    </row>
    <row r="22" ht="15">
      <c r="E22" s="42"/>
    </row>
    <row r="23" ht="15">
      <c r="E23" s="42"/>
    </row>
    <row r="24" ht="15">
      <c r="E24" s="42"/>
    </row>
    <row r="25" ht="15">
      <c r="E25" s="42"/>
    </row>
    <row r="26" ht="15">
      <c r="E26" s="42"/>
    </row>
    <row r="27" ht="15">
      <c r="E27" s="42"/>
    </row>
    <row r="28" ht="15">
      <c r="E28" s="42"/>
    </row>
    <row r="29" ht="15">
      <c r="E29" s="42"/>
    </row>
    <row r="30" ht="15">
      <c r="E30" s="42"/>
    </row>
    <row r="31" ht="15">
      <c r="E31" s="42"/>
    </row>
    <row r="32" ht="15">
      <c r="E32" s="42"/>
    </row>
    <row r="33" ht="15">
      <c r="E33" s="42"/>
    </row>
    <row r="34" ht="15">
      <c r="E34" s="42"/>
    </row>
    <row r="35" ht="15">
      <c r="E35" s="42"/>
    </row>
    <row r="36" ht="15">
      <c r="E36" s="42"/>
    </row>
    <row r="37" ht="15">
      <c r="E37" s="42"/>
    </row>
    <row r="38" ht="15">
      <c r="E38" s="42"/>
    </row>
    <row r="40" ht="15">
      <c r="E40" s="4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Tinja Kovačić</cp:lastModifiedBy>
  <cp:lastPrinted>2023-02-18T10:03:53Z</cp:lastPrinted>
  <dcterms:created xsi:type="dcterms:W3CDTF">2014-09-10T12:00:17Z</dcterms:created>
  <dcterms:modified xsi:type="dcterms:W3CDTF">2023-02-18T11:21:52Z</dcterms:modified>
  <cp:category/>
  <cp:version/>
  <cp:contentType/>
  <cp:contentStatus/>
</cp:coreProperties>
</file>