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300" tabRatio="801" activeTab="6"/>
  </bookViews>
  <sheets>
    <sheet name="SAŽETAK" sheetId="1" r:id="rId1"/>
    <sheet name=" Račun prihoda i rashoda-ekonom" sheetId="3" r:id="rId2"/>
    <sheet name=" Račun prihoda i rashoda-izvori" sheetId="9" r:id="rId3"/>
    <sheet name=" Račun rashoda-funkcija" sheetId="10" r:id="rId4"/>
    <sheet name=" Račun financiranja-ekonomska" sheetId="11" r:id="rId5"/>
    <sheet name=" Račun financiranja-izvori" sheetId="12" r:id="rId6"/>
    <sheet name="POSEBNI DIO" sheetId="7" r:id="rId7"/>
  </sheets>
  <definedNames>
    <definedName name="_xlnm.Print_Area" localSheetId="4">' Račun financiranja-ekonomska'!$A$1:$H$15</definedName>
    <definedName name="_xlnm.Print_Area" localSheetId="5">' Račun financiranja-izvori'!$A$1:$F$11</definedName>
    <definedName name="_xlnm.Print_Area" localSheetId="1">' Račun prihoda i rashoda-ekonom'!$A$1:$H$31</definedName>
    <definedName name="_xlnm.Print_Area" localSheetId="2">' Račun prihoda i rashoda-izvori'!$A$1:$F$25</definedName>
    <definedName name="_xlnm.Print_Area" localSheetId="3">' Račun rashoda-funkcija'!$A$1:$F$8</definedName>
    <definedName name="_xlnm.Print_Area" localSheetId="6">'POSEBNI DIO'!$A$2:$G$62</definedName>
    <definedName name="_xlnm.Print_Area" localSheetId="0">SAŽETAK!$A$1:$J$29</definedName>
  </definedNames>
  <calcPr calcId="145621"/>
</workbook>
</file>

<file path=xl/calcChain.xml><?xml version="1.0" encoding="utf-8"?>
<calcChain xmlns="http://schemas.openxmlformats.org/spreadsheetml/2006/main">
  <c r="G47" i="7" l="1"/>
  <c r="G46" i="7" s="1"/>
  <c r="F47" i="7"/>
  <c r="F46" i="7"/>
  <c r="E46" i="7"/>
  <c r="E47" i="7"/>
  <c r="F50" i="7"/>
  <c r="G50" i="7"/>
  <c r="E50" i="7"/>
  <c r="I27" i="1" l="1"/>
  <c r="J27" i="1"/>
  <c r="H27" i="1"/>
  <c r="I26" i="1"/>
  <c r="J26" i="1"/>
  <c r="H26" i="1"/>
  <c r="H15" i="1"/>
  <c r="I15" i="1"/>
  <c r="J15" i="1"/>
  <c r="G11" i="3" l="1"/>
  <c r="G10" i="3" s="1"/>
  <c r="H11" i="3"/>
  <c r="H10" i="3" s="1"/>
  <c r="E8" i="10"/>
  <c r="F6" i="10"/>
  <c r="E7" i="10"/>
  <c r="E6" i="10" s="1"/>
  <c r="F7" i="10"/>
  <c r="F8" i="10"/>
  <c r="I11" i="1"/>
  <c r="J11" i="1"/>
  <c r="I14" i="1"/>
  <c r="J14" i="1"/>
  <c r="F57" i="7"/>
  <c r="F56" i="7" s="1"/>
  <c r="G57" i="7"/>
  <c r="G56" i="7" s="1"/>
  <c r="F53" i="7"/>
  <c r="F52" i="7" s="1"/>
  <c r="G53" i="7"/>
  <c r="G52" i="7" s="1"/>
  <c r="E56" i="7" l="1"/>
  <c r="E57" i="7"/>
  <c r="E52" i="7"/>
  <c r="E53" i="7"/>
  <c r="E41" i="7"/>
  <c r="E34" i="7" s="1"/>
  <c r="F41" i="7"/>
  <c r="G41" i="7"/>
  <c r="F35" i="7"/>
  <c r="G35" i="7"/>
  <c r="E35" i="7"/>
  <c r="E29" i="7"/>
  <c r="E28" i="7" s="1"/>
  <c r="E27" i="7" s="1"/>
  <c r="F29" i="7"/>
  <c r="F28" i="7" s="1"/>
  <c r="F27" i="7" s="1"/>
  <c r="G29" i="7"/>
  <c r="G28" i="7" s="1"/>
  <c r="G27" i="7" s="1"/>
  <c r="F34" i="7" l="1"/>
  <c r="F33" i="7" s="1"/>
  <c r="E33" i="7"/>
  <c r="G34" i="7"/>
  <c r="G33" i="7" s="1"/>
  <c r="E18" i="7"/>
  <c r="F18" i="7"/>
  <c r="G18" i="7"/>
  <c r="E11" i="7"/>
  <c r="F11" i="7"/>
  <c r="G11" i="7"/>
  <c r="E13" i="7"/>
  <c r="F13" i="7"/>
  <c r="G13" i="7"/>
  <c r="D31" i="9"/>
  <c r="E31" i="9"/>
  <c r="F31" i="9"/>
  <c r="D27" i="9"/>
  <c r="E27" i="9"/>
  <c r="F27" i="9"/>
  <c r="D25" i="9"/>
  <c r="E25" i="9"/>
  <c r="F25" i="9"/>
  <c r="D23" i="9"/>
  <c r="E23" i="9"/>
  <c r="F23" i="9"/>
  <c r="D21" i="9"/>
  <c r="E21" i="9"/>
  <c r="F21" i="9"/>
  <c r="D17" i="9"/>
  <c r="E17" i="9"/>
  <c r="F17" i="9"/>
  <c r="D13" i="9"/>
  <c r="E13" i="9"/>
  <c r="F13" i="9"/>
  <c r="D11" i="9"/>
  <c r="E11" i="9"/>
  <c r="F11" i="9"/>
  <c r="D9" i="9"/>
  <c r="E9" i="9"/>
  <c r="F9" i="9"/>
  <c r="D7" i="9"/>
  <c r="E7" i="9"/>
  <c r="F7" i="9"/>
  <c r="D6" i="10"/>
  <c r="D7" i="10"/>
  <c r="D8" i="10"/>
  <c r="F28" i="3"/>
  <c r="G28" i="3"/>
  <c r="H28" i="3"/>
  <c r="F22" i="3"/>
  <c r="G22" i="3"/>
  <c r="H22" i="3"/>
  <c r="F10" i="3"/>
  <c r="F11" i="3"/>
  <c r="H14" i="1"/>
  <c r="H11" i="1"/>
  <c r="H21" i="3" l="1"/>
  <c r="G21" i="3"/>
  <c r="G10" i="7"/>
  <c r="G9" i="7" s="1"/>
  <c r="G8" i="7" s="1"/>
  <c r="G7" i="7" s="1"/>
  <c r="F10" i="7"/>
  <c r="F9" i="7" s="1"/>
  <c r="F8" i="7" s="1"/>
  <c r="F7" i="7" s="1"/>
  <c r="E10" i="7"/>
  <c r="E9" i="7" s="1"/>
  <c r="E8" i="7" s="1"/>
  <c r="E7" i="7" s="1"/>
  <c r="D20" i="9"/>
  <c r="F20" i="9"/>
  <c r="E20" i="9"/>
  <c r="F6" i="9"/>
  <c r="E6" i="9"/>
  <c r="D6" i="9"/>
  <c r="F21" i="3"/>
  <c r="C6" i="10"/>
  <c r="C7" i="10"/>
  <c r="C8" i="10"/>
  <c r="C31" i="9"/>
  <c r="C27" i="9"/>
  <c r="C20" i="9" s="1"/>
  <c r="C25" i="9"/>
  <c r="C23" i="9"/>
  <c r="C21" i="9"/>
  <c r="C6" i="9"/>
  <c r="C9" i="9"/>
  <c r="C11" i="9"/>
  <c r="C13" i="9"/>
  <c r="C17" i="9"/>
  <c r="C7" i="9"/>
  <c r="E21" i="3"/>
  <c r="E28" i="3"/>
  <c r="E22" i="3"/>
  <c r="E11" i="3"/>
  <c r="E10" i="3" s="1"/>
  <c r="G15" i="1"/>
  <c r="G14" i="1"/>
  <c r="G11" i="1"/>
  <c r="C42" i="7" l="1"/>
  <c r="C59" i="7"/>
  <c r="C60" i="7"/>
  <c r="C61" i="7"/>
  <c r="C62" i="7"/>
  <c r="C56" i="7"/>
  <c r="C57" i="7"/>
  <c r="C58" i="7"/>
  <c r="C55" i="7"/>
  <c r="C54" i="7"/>
  <c r="C49" i="7"/>
  <c r="C48" i="7"/>
  <c r="C44" i="7"/>
  <c r="C41" i="7" s="1"/>
  <c r="C43" i="7"/>
  <c r="C35" i="7"/>
  <c r="C39" i="7"/>
  <c r="C38" i="7"/>
  <c r="C37" i="7"/>
  <c r="C36" i="7"/>
  <c r="C27" i="7"/>
  <c r="C28" i="7"/>
  <c r="C29" i="7"/>
  <c r="C32" i="7"/>
  <c r="C31" i="7"/>
  <c r="C30" i="7"/>
  <c r="C24" i="7"/>
  <c r="C25" i="7"/>
  <c r="C22" i="7" s="1"/>
  <c r="C26" i="7"/>
  <c r="C23" i="7"/>
  <c r="C20" i="7"/>
  <c r="C19" i="7" s="1"/>
  <c r="C16" i="7"/>
  <c r="C15" i="7"/>
  <c r="C14" i="7"/>
  <c r="C11" i="7"/>
  <c r="C12" i="7"/>
  <c r="D56" i="7"/>
  <c r="D57" i="7"/>
  <c r="D53" i="7"/>
  <c r="D52" i="7"/>
  <c r="D47" i="7"/>
  <c r="D46" i="7" s="1"/>
  <c r="D41" i="7"/>
  <c r="D34" i="7" s="1"/>
  <c r="D33" i="7" s="1"/>
  <c r="D35" i="7"/>
  <c r="D32" i="7"/>
  <c r="D29" i="7"/>
  <c r="D28" i="7"/>
  <c r="D27" i="7"/>
  <c r="D25" i="7"/>
  <c r="D23" i="7"/>
  <c r="D22" i="7"/>
  <c r="D18" i="7"/>
  <c r="D13" i="7"/>
  <c r="D11" i="7"/>
  <c r="D10" i="7"/>
  <c r="D9" i="7"/>
  <c r="C53" i="7" l="1"/>
  <c r="C52" i="7" s="1"/>
  <c r="C47" i="7"/>
  <c r="C46" i="7" s="1"/>
  <c r="C34" i="7"/>
  <c r="C18" i="7"/>
  <c r="C13" i="7"/>
  <c r="C10" i="7" s="1"/>
  <c r="C9" i="7" s="1"/>
  <c r="D8" i="7"/>
  <c r="D7" i="7" s="1"/>
  <c r="B8" i="10"/>
  <c r="B7" i="10"/>
  <c r="B6" i="10"/>
  <c r="B22" i="9"/>
  <c r="B26" i="9"/>
  <c r="B32" i="9"/>
  <c r="B31" i="9" s="1"/>
  <c r="B21" i="9"/>
  <c r="B25" i="9"/>
  <c r="B30" i="9"/>
  <c r="B27" i="9" s="1"/>
  <c r="B29" i="9"/>
  <c r="B28" i="9"/>
  <c r="B24" i="9"/>
  <c r="B23" i="9" s="1"/>
  <c r="B18" i="9"/>
  <c r="B17" i="9" s="1"/>
  <c r="B16" i="9"/>
  <c r="B15" i="9"/>
  <c r="B14" i="9"/>
  <c r="B12" i="9"/>
  <c r="B11" i="9" s="1"/>
  <c r="B9" i="9"/>
  <c r="B8" i="9"/>
  <c r="B7" i="9" s="1"/>
  <c r="D31" i="3"/>
  <c r="D30" i="3"/>
  <c r="D29" i="3"/>
  <c r="D27" i="3"/>
  <c r="D26" i="3"/>
  <c r="D25" i="3"/>
  <c r="D24" i="3"/>
  <c r="D23" i="3"/>
  <c r="D17" i="3"/>
  <c r="D16" i="3"/>
  <c r="D15" i="3"/>
  <c r="D14" i="3"/>
  <c r="D13" i="3"/>
  <c r="D12" i="3"/>
  <c r="F15" i="1"/>
  <c r="F13" i="1"/>
  <c r="F14" i="1"/>
  <c r="F12" i="1"/>
  <c r="F11" i="1"/>
  <c r="F9" i="1"/>
  <c r="B6" i="9" l="1"/>
  <c r="B20" i="9"/>
  <c r="B13" i="9"/>
  <c r="C33" i="7"/>
  <c r="C8" i="7"/>
  <c r="C7" i="7" s="1"/>
  <c r="D22" i="3"/>
  <c r="D28" i="3"/>
  <c r="D11" i="3"/>
  <c r="D10" i="3" s="1"/>
  <c r="D21" i="3" l="1"/>
</calcChain>
</file>

<file path=xl/sharedStrings.xml><?xml version="1.0" encoding="utf-8"?>
<sst xmlns="http://schemas.openxmlformats.org/spreadsheetml/2006/main" count="273" uniqueCount="121">
  <si>
    <t>PRIHODI UKUPNO</t>
  </si>
  <si>
    <t>RASHODI UKUPNO</t>
  </si>
  <si>
    <t>RAZLIKA - VIŠAK / MANJAK</t>
  </si>
  <si>
    <t>NETO FINANCIRANJE</t>
  </si>
  <si>
    <t>VIŠAK / MANJAK + NETO FINANCIRANJE</t>
  </si>
  <si>
    <t xml:space="preserve">A. RAČUN PRIHODA I RASHODA </t>
  </si>
  <si>
    <t>Prihodi poslovanja</t>
  </si>
  <si>
    <t>Rashodi poslovanja</t>
  </si>
  <si>
    <t>Rashodi za zaposlene</t>
  </si>
  <si>
    <t>Rashodi za nabavu nefinancijske imovine</t>
  </si>
  <si>
    <t>Rashodi za nabavu neproizvedene dugotrajne imovine</t>
  </si>
  <si>
    <t>BROJČANA OZNAKA I NAZIV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</si>
  <si>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</si>
  <si>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</si>
  <si>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</si>
  <si>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</si>
  <si>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</si>
  <si>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Materijalni rashodi</t>
  </si>
  <si>
    <t>Primici od zaduživanja</t>
  </si>
  <si>
    <t>Izdaci za otplatu glavnice primljenih kredita i zajmova</t>
  </si>
  <si>
    <t>Pomoći iz inozemstva i od subjekata unutar općeg proračuna</t>
  </si>
  <si>
    <t>…</t>
  </si>
  <si>
    <t>PRIJENOS SREDSTAVA IZ PRETHODNE GODINE</t>
  </si>
  <si>
    <t xml:space="preserve"> Prihodi od prodaje proizvoda i robe te pruženih usluga i prihodi od donacija</t>
  </si>
  <si>
    <t>1 Opći prihodi i primici</t>
  </si>
  <si>
    <t>11 Opći prihodi i primici</t>
  </si>
  <si>
    <t>12 Sredstva učešća za pomoći</t>
  </si>
  <si>
    <t>….</t>
  </si>
  <si>
    <t>2 Doprinosi</t>
  </si>
  <si>
    <t>21 Doprinosi za mirovinsko osiguranje</t>
  </si>
  <si>
    <t>3 Vlastiti prihodi</t>
  </si>
  <si>
    <t>31 Vlastiti prihodi</t>
  </si>
  <si>
    <t>FINANCIJSKI PLAN PRORAČUNSKOG KORISNIKA DRŽAVNOG PRORAČUNA
ZA 2023. I PROJEKCIJE ZA 2024. I 2025. GODINU</t>
  </si>
  <si>
    <t>A. SAŽETAK RAČUNA PRIHODA I RASHODA</t>
  </si>
  <si>
    <t>B. SAŽETAK RAČUNA FINANCIRANJA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</si>
  <si>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</si>
  <si>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</si>
  <si>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</si>
  <si>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</si>
  <si>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</si>
  <si>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</si>
  <si>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RAZLIKA PRIMITAKA I IZDATAKA</t>
  </si>
  <si>
    <t>PRIJENOS SREDSTAVA U SLJEDEĆE RAZDOBLJE</t>
  </si>
  <si>
    <t>Napomena:  Iznosi u stupcu "Izvršenje 2022." preračunavaju se iz kuna u eure prema fiksnom tečaju konverzije (1 EUR=7,53450 kuna) i po pravilima za preračunavanje i zaokruživanje.</t>
  </si>
  <si>
    <t>IZVRŠENJE
2022.</t>
  </si>
  <si>
    <t>TEKUĆI PLAN
2023.</t>
  </si>
  <si>
    <t>PLAN 
ZA 2024.</t>
  </si>
  <si>
    <t>PROJEKCIJA 
ZA 2025.</t>
  </si>
  <si>
    <t>PROJEKCIJA 
ZA 2026.</t>
  </si>
  <si>
    <t>A1. PRIHODI I RASHODI PREMA EKONOMSKOJ KLASIFIKACIJI</t>
  </si>
  <si>
    <t>A2. PRIHODI I RASHODI PREMA IZVORIMA FINANCIRANJA</t>
  </si>
  <si>
    <t>UKUPNO PRIHODI</t>
  </si>
  <si>
    <t>UKUPNO RASHODI</t>
  </si>
  <si>
    <t>A3. RASHODI PREMA FUNKCIJSKOJ KLASIFIKACIJI</t>
  </si>
  <si>
    <t>B1. RAČUN FINANCIRANJA PREMA EKONOMSKOJ KLASIFIKACIJI</t>
  </si>
  <si>
    <t>B2. RAČUN FINANCIRANJA PREMA IZVORIMA FINANCIRANJA</t>
  </si>
  <si>
    <t>UKUPNO PRIMICI</t>
  </si>
  <si>
    <t xml:space="preserve">UKUPNO IZDACI </t>
  </si>
  <si>
    <t>Prihodi od imovine</t>
  </si>
  <si>
    <t>Prihodi od upravnih i administrativnih prostojbi, pristojbi po posebnim propisima i naknada</t>
  </si>
  <si>
    <t>Prihodi iz nadležnog proračuna i od HZZO-a temeljem ugovornih obveza</t>
  </si>
  <si>
    <t>Kazne, upravne mjere o ostali prihodi</t>
  </si>
  <si>
    <t>Financijski rashodi</t>
  </si>
  <si>
    <t>Naknade građanima i kućanstvima na temelju osiguranja i druge naknade</t>
  </si>
  <si>
    <t>Ostali rashodi</t>
  </si>
  <si>
    <t>Rashodi za nabavu proizvedene dugotrajne imovine</t>
  </si>
  <si>
    <t>Rashodi za nabavu plemenitih metala i ostalih pohranjenih vrijednosti</t>
  </si>
  <si>
    <t>Rashodi za dodatna ulaganja na nefinancijskoj imovini</t>
  </si>
  <si>
    <t>4 Prihodi za posebne namjene</t>
  </si>
  <si>
    <t>5 Pomoći</t>
  </si>
  <si>
    <t>6 Donacije</t>
  </si>
  <si>
    <t>43 Ostali prihodi za posebne namjene</t>
  </si>
  <si>
    <t>51 Pomoći EU</t>
  </si>
  <si>
    <t>52 Ostale pomoći i darovnice</t>
  </si>
  <si>
    <t>57 Ostali programi EU</t>
  </si>
  <si>
    <t>61 Donacije</t>
  </si>
  <si>
    <t>08 Rekreacija, kultura i religija</t>
  </si>
  <si>
    <t>082 Službe kulture</t>
  </si>
  <si>
    <t>RAZDJEL 055</t>
  </si>
  <si>
    <t>MINISTARSTVO KULTURE I MEDIJA</t>
  </si>
  <si>
    <t>GLAVA 05535</t>
  </si>
  <si>
    <t>ARHIVI</t>
  </si>
  <si>
    <t>GLAVNI PROGRAM 3902</t>
  </si>
  <si>
    <t>ARHIVSKA DJELATNOST</t>
  </si>
  <si>
    <t>PROGRAM 040</t>
  </si>
  <si>
    <t>HRVATSKI DRŽAVNI ARHIV</t>
  </si>
  <si>
    <t>Aktivnost A56502818</t>
  </si>
  <si>
    <t>ARHIVI PROGRAMSKA DJELATNOST HDA</t>
  </si>
  <si>
    <t>Izvor financiranja 11</t>
  </si>
  <si>
    <t>Opći prihodi i primici</t>
  </si>
  <si>
    <t>Razred (rashod/izdatak) 3</t>
  </si>
  <si>
    <t>Skupina (rashod/izdatak) 32</t>
  </si>
  <si>
    <t>Razred (rashod/izdatak) 4</t>
  </si>
  <si>
    <t>Skupina (rashod/izdatak) 41</t>
  </si>
  <si>
    <t>Skupina (rashod/izdatak) 42</t>
  </si>
  <si>
    <t>Skupina (rashod/izdatak) 43</t>
  </si>
  <si>
    <t>Skupina (rashod/izdatak) 45</t>
  </si>
  <si>
    <t>Aktivnost A56502918</t>
  </si>
  <si>
    <t>ARHIVI PROGRAMSKA DJELATNOST OSTALI IZVORI HDA</t>
  </si>
  <si>
    <t>Izvor financiranja 52</t>
  </si>
  <si>
    <t>Pomoći gradova i županija</t>
  </si>
  <si>
    <t>Aktivnost A78300018</t>
  </si>
  <si>
    <t>ADMINISTRACIJA I UPRAVLJANJE HDA</t>
  </si>
  <si>
    <t>Skupina (rashod/izdatak) 31</t>
  </si>
  <si>
    <t>Skupina (rashod/izdatak) 34</t>
  </si>
  <si>
    <t>Aktivnost A78300118</t>
  </si>
  <si>
    <t>ADMINISTRACIJA I UPRAVLJANJE OSTALI IZVORI HDA</t>
  </si>
  <si>
    <t>Izvor financiranja 31</t>
  </si>
  <si>
    <t>Vlastiti prihodi</t>
  </si>
  <si>
    <t>Skupina (rashod/izdatak) 37</t>
  </si>
  <si>
    <t>Izvor financiranja 43</t>
  </si>
  <si>
    <t>Ostali prihodi za posebne namjene</t>
  </si>
  <si>
    <t>Ostale pomoći</t>
  </si>
  <si>
    <t>Aktivnost A78300218</t>
  </si>
  <si>
    <t>SANACIJA ŠTETE OD POTRESA ARHIVI HDA</t>
  </si>
  <si>
    <t>Izvor financiranja 5761</t>
  </si>
  <si>
    <t>Fond solidarnosti EU-potres ožujak 2020.</t>
  </si>
  <si>
    <t>Izvor financiranja 61</t>
  </si>
  <si>
    <t>Donacije</t>
  </si>
  <si>
    <t>Izvor financiranja 51</t>
  </si>
  <si>
    <t>Skupina (rashod/izdatak) 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</si>
</sst>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14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0" fontId="10" fillId="2" borderId="3" xfId="0" quotePrefix="1" applyFont="1" applyFill="1" applyBorder="1" applyAlignment="1">
      <alignment horizontal="left" vertical="center" wrapText="1" indent="1"/>
    </xf>
    <xf numFmtId="0" fontId="10" fillId="2" borderId="3" xfId="0" applyFont="1" applyFill="1" applyBorder="1" applyAlignment="1">
      <alignment horizontal="left" vertical="center" indent="1"/>
    </xf>
    <xf numFmtId="0" fontId="10" fillId="2" borderId="3" xfId="0" applyNumberFormat="1" applyFont="1" applyFill="1" applyBorder="1" applyAlignment="1" applyProtection="1">
      <alignment horizontal="left" vertical="center" wrapText="1" indent="1"/>
    </xf>
    <xf numFmtId="0" fontId="9" fillId="2" borderId="3" xfId="0" quotePrefix="1" applyFont="1" applyFill="1" applyBorder="1" applyAlignment="1">
      <alignment horizontal="left" vertical="center" wrapText="1"/>
    </xf>
    <xf numFmtId="0" fontId="13" fillId="0" borderId="0" xfId="0" applyFont="1" applyAlignment="1">
      <alignment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3" fillId="0" borderId="0" xfId="0" applyFont="1" applyAlignment="1">
      <alignment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/>
    </xf>
    <xf numFmtId="0" fontId="6" fillId="3" borderId="3" xfId="0" quotePrefix="1" applyFont="1" applyFill="1" applyBorder="1" applyAlignment="1">
      <alignment horizontal="center" vertical="center" wrapText="1"/>
    </xf>
    <xf numFmtId="0" fontId="6" fillId="3" borderId="3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15" fillId="0" borderId="3" xfId="0" quotePrefix="1" applyFont="1" applyBorder="1" applyAlignment="1">
      <alignment horizontal="center" vertical="center" wrapText="1"/>
    </xf>
    <xf numFmtId="0" fontId="15" fillId="2" borderId="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Fill="1"/>
    <xf numFmtId="0" fontId="0" fillId="0" borderId="3" xfId="0" applyBorder="1"/>
    <xf numFmtId="0" fontId="15" fillId="3" borderId="3" xfId="0" quotePrefix="1" applyFont="1" applyFill="1" applyBorder="1" applyAlignment="1">
      <alignment horizontal="center" vertical="center" wrapText="1"/>
    </xf>
    <xf numFmtId="0" fontId="15" fillId="3" borderId="3" xfId="0" applyNumberFormat="1" applyFont="1" applyFill="1" applyBorder="1" applyAlignment="1" applyProtection="1">
      <alignment horizontal="center" vertical="center" wrapText="1"/>
    </xf>
    <xf numFmtId="0" fontId="15" fillId="3" borderId="4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vertical="center" wrapText="1"/>
    </xf>
    <xf numFmtId="4" fontId="0" fillId="0" borderId="0" xfId="0" applyNumberFormat="1"/>
    <xf numFmtId="0" fontId="1" fillId="0" borderId="3" xfId="0" applyFont="1" applyBorder="1"/>
    <xf numFmtId="0" fontId="0" fillId="0" borderId="0" xfId="0"/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4" fontId="3" fillId="2" borderId="3" xfId="0" applyNumberFormat="1" applyFont="1" applyFill="1" applyBorder="1" applyAlignment="1">
      <alignment horizontal="right"/>
    </xf>
    <xf numFmtId="4" fontId="0" fillId="0" borderId="0" xfId="0" applyNumberFormat="1"/>
    <xf numFmtId="0" fontId="9" fillId="2" borderId="3" xfId="0" quotePrefix="1" applyFont="1" applyFill="1" applyBorder="1" applyAlignment="1">
      <alignment horizontal="left"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0" fontId="17" fillId="0" borderId="3" xfId="0" applyFont="1" applyBorder="1"/>
    <xf numFmtId="0" fontId="0" fillId="0" borderId="3" xfId="0" applyBorder="1" applyAlignment="1">
      <alignment horizontal="left"/>
    </xf>
    <xf numFmtId="4" fontId="3" fillId="2" borderId="3" xfId="0" applyNumberFormat="1" applyFont="1" applyFill="1" applyBorder="1" applyAlignment="1"/>
    <xf numFmtId="4" fontId="6" fillId="2" borderId="3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NumberFormat="1" applyFont="1" applyFill="1" applyBorder="1" applyAlignment="1" applyProtection="1">
      <alignment vertical="center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1" fillId="0" borderId="1" xfId="0" quotePrefix="1" applyFont="1" applyFill="1" applyBorder="1" applyAlignment="1">
      <alignment horizontal="left" vertical="center"/>
    </xf>
    <xf numFmtId="0" fontId="6" fillId="0" borderId="1" xfId="0" quotePrefix="1" applyFont="1" applyBorder="1" applyAlignment="1">
      <alignment horizontal="center" vertical="center" wrapText="1"/>
    </xf>
    <xf numFmtId="0" fontId="6" fillId="0" borderId="2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15" fillId="3" borderId="1" xfId="0" applyNumberFormat="1" applyFont="1" applyFill="1" applyBorder="1" applyAlignment="1" applyProtection="1">
      <alignment horizontal="center" vertical="center" wrapText="1"/>
    </xf>
    <xf numFmtId="0" fontId="15" fillId="3" borderId="2" xfId="0" applyNumberFormat="1" applyFont="1" applyFill="1" applyBorder="1" applyAlignment="1" applyProtection="1">
      <alignment horizontal="center" vertical="center" wrapText="1"/>
    </xf>
    <xf numFmtId="0" fontId="15" fillId="3" borderId="4" xfId="0" applyNumberFormat="1" applyFont="1" applyFill="1" applyBorder="1" applyAlignment="1" applyProtection="1">
      <alignment horizontal="center" vertical="center" wrapText="1"/>
    </xf>
    <xf numFmtId="4" fontId="6" fillId="2" borderId="3" xfId="0" applyNumberFormat="1" applyFont="1" applyFill="1" applyBorder="1" applyAlignment="1"/>
    <xf numFmtId="4" fontId="3" fillId="2" borderId="3" xfId="0" applyNumberFormat="1" applyFont="1" applyFill="1" applyBorder="1" applyAlignment="1" applyProtection="1">
      <alignment wrapText="1"/>
    </xf>
    <xf numFmtId="4" fontId="18" fillId="0" borderId="3" xfId="0" applyNumberFormat="1" applyFont="1" applyBorder="1" applyAlignment="1"/>
    <xf numFmtId="4" fontId="9" fillId="0" borderId="3" xfId="0" applyNumberFormat="1" applyFont="1" applyFill="1" applyBorder="1" applyAlignment="1" applyProtection="1"/>
    <xf numFmtId="4" fontId="3" fillId="0" borderId="3" xfId="0" applyNumberFormat="1" applyFont="1" applyFill="1" applyBorder="1" applyAlignment="1"/>
    <xf numFmtId="4" fontId="6" fillId="0" borderId="3" xfId="0" applyNumberFormat="1" applyFont="1" applyFill="1" applyBorder="1" applyAlignment="1"/>
    <xf numFmtId="4" fontId="11" fillId="3" borderId="3" xfId="0" applyNumberFormat="1" applyFont="1" applyFill="1" applyBorder="1" applyAlignment="1" applyProtection="1"/>
    <xf numFmtId="4" fontId="6" fillId="3" borderId="3" xfId="0" applyNumberFormat="1" applyFont="1" applyFill="1" applyBorder="1" applyAlignment="1"/>
    <xf numFmtId="4" fontId="9" fillId="0" borderId="3" xfId="0" applyNumberFormat="1" applyFont="1" applyFill="1" applyBorder="1" applyAlignment="1" applyProtection="1">
      <alignment wrapText="1"/>
    </xf>
    <xf numFmtId="4" fontId="3" fillId="0" borderId="3" xfId="0" applyNumberFormat="1" applyFont="1" applyFill="1" applyBorder="1" applyAlignment="1" applyProtection="1">
      <alignment wrapText="1"/>
    </xf>
    <xf numFmtId="4" fontId="3" fillId="0" borderId="3" xfId="0" applyNumberFormat="1" applyFont="1" applyBorder="1" applyAlignment="1"/>
    <xf numFmtId="4" fontId="9" fillId="3" borderId="3" xfId="0" applyNumberFormat="1" applyFont="1" applyFill="1" applyBorder="1" applyAlignment="1" applyProtection="1">
      <alignment wrapText="1"/>
    </xf>
    <xf numFmtId="4" fontId="11" fillId="0" borderId="3" xfId="0" applyNumberFormat="1" applyFont="1" applyFill="1" applyBorder="1" applyAlignment="1" applyProtection="1">
      <alignment wrapText="1"/>
    </xf>
    <xf numFmtId="4" fontId="6" fillId="0" borderId="3" xfId="0" applyNumberFormat="1" applyFont="1" applyBorder="1" applyAlignment="1"/>
    <xf numFmtId="4" fontId="9" fillId="3" borderId="3" xfId="0" applyNumberFormat="1" applyFont="1" applyFill="1" applyBorder="1" applyAlignment="1" applyProtection="1"/>
    <xf numFmtId="4" fontId="6" fillId="0" borderId="3" xfId="0" quotePrefix="1" applyNumberFormat="1" applyFont="1" applyBorder="1" applyAlignment="1">
      <alignment wrapText="1"/>
    </xf>
    <xf numFmtId="4" fontId="6" fillId="2" borderId="3" xfId="0" applyNumberFormat="1" applyFont="1" applyFill="1" applyBorder="1" applyAlignment="1" applyProtection="1">
      <alignment wrapText="1"/>
    </xf>
    <xf numFmtId="4" fontId="11" fillId="2" borderId="3" xfId="0" applyNumberFormat="1" applyFont="1" applyFill="1" applyBorder="1" applyAlignment="1" applyProtection="1">
      <alignment wrapText="1"/>
    </xf>
    <xf numFmtId="4" fontId="9" fillId="2" borderId="3" xfId="0" applyNumberFormat="1" applyFont="1" applyFill="1" applyBorder="1" applyAlignment="1" applyProtection="1">
      <alignment wrapText="1"/>
    </xf>
    <xf numFmtId="4" fontId="11" fillId="2" borderId="3" xfId="0" applyNumberFormat="1" applyFont="1" applyFill="1" applyBorder="1" applyAlignment="1" applyProtection="1">
      <alignment horizontal="right" wrapText="1"/>
    </xf>
    <xf numFmtId="4" fontId="9" fillId="2" borderId="3" xfId="0" applyNumberFormat="1" applyFont="1" applyFill="1" applyBorder="1" applyAlignment="1" applyProtection="1">
      <alignment horizontal="right" wrapText="1"/>
    </xf>
    <xf numFmtId="4" fontId="9" fillId="2" borderId="3" xfId="0" quotePrefix="1" applyNumberFormat="1" applyFont="1" applyFill="1" applyBorder="1" applyAlignment="1"/>
    <xf numFmtId="4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right"/>
    </xf>
    <xf numFmtId="4" fontId="18" fillId="0" borderId="3" xfId="0" applyNumberFormat="1" applyFont="1" applyBorder="1" applyAlignment="1">
      <alignment horizontal="right"/>
    </xf>
    <xf numFmtId="4" fontId="19" fillId="0" borderId="3" xfId="0" applyNumberFormat="1" applyFont="1" applyBorder="1" applyAlignment="1">
      <alignment horizontal="right"/>
    </xf>
    <xf numFmtId="4" fontId="10" fillId="2" borderId="3" xfId="0" applyNumberFormat="1" applyFont="1" applyFill="1" applyBorder="1" applyAlignment="1" applyProtection="1">
      <alignment horizontal="right" wrapText="1"/>
    </xf>
    <xf numFmtId="4" fontId="20" fillId="2" borderId="3" xfId="0" applyNumberFormat="1" applyFont="1" applyFill="1" applyBorder="1" applyAlignment="1">
      <alignment horizontal="righ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workbookViewId="0">
      <selection activeCell="F33" sqref="F33"/>
    </sheetView>
  </sheetViews>
  <sheetFormatPr defaultRowHeight="15" x14ac:dyDescent="0.25"/>
  <cols>
    <col min="5" max="5" width="25.28515625" customWidth="1"/>
    <col min="6" max="10" width="19.42578125" customWidth="1"/>
    <col min="11" max="12" width="25.28515625" customWidth="1"/>
  </cols>
  <sheetData>
    <row r="1" spans="1:12" ht="42" customHeight="1" x14ac:dyDescent="0.25">
      <c r="A1" s="67" t="s">
        <v>32</v>
      </c>
      <c r="B1" s="67"/>
      <c r="C1" s="67"/>
      <c r="D1" s="67"/>
      <c r="E1" s="67"/>
      <c r="F1" s="67"/>
      <c r="G1" s="67"/>
      <c r="H1" s="67"/>
      <c r="I1" s="67"/>
      <c r="J1" s="67"/>
      <c r="K1" s="36"/>
      <c r="L1" s="36"/>
    </row>
    <row r="2" spans="1:12" ht="18" customHeight="1" x14ac:dyDescent="0.25">
      <c r="A2" s="5"/>
      <c r="B2" s="5"/>
      <c r="C2" s="5"/>
      <c r="D2" s="5"/>
      <c r="E2" s="5"/>
      <c r="F2" s="23"/>
      <c r="G2" s="23"/>
      <c r="H2" s="5"/>
      <c r="I2" s="5"/>
      <c r="J2" s="5"/>
      <c r="K2" s="5"/>
      <c r="L2" s="5"/>
    </row>
    <row r="3" spans="1:12" ht="15.75" customHeight="1" x14ac:dyDescent="0.25">
      <c r="A3" s="67" t="s">
        <v>16</v>
      </c>
      <c r="B3" s="67"/>
      <c r="C3" s="67"/>
      <c r="D3" s="67"/>
      <c r="E3" s="67"/>
      <c r="F3" s="67"/>
      <c r="G3" s="67"/>
      <c r="H3" s="67"/>
      <c r="I3" s="67"/>
      <c r="J3" s="67"/>
      <c r="K3" s="34"/>
      <c r="L3" s="34"/>
    </row>
    <row r="4" spans="1:12" ht="18" x14ac:dyDescent="0.25">
      <c r="A4" s="5"/>
      <c r="B4" s="5"/>
      <c r="C4" s="5"/>
      <c r="D4" s="5"/>
      <c r="E4" s="5"/>
      <c r="F4" s="23"/>
      <c r="G4" s="23"/>
      <c r="H4" s="5"/>
      <c r="I4" s="5"/>
      <c r="J4" s="5"/>
      <c r="K4" s="6"/>
      <c r="L4" s="6"/>
    </row>
    <row r="5" spans="1:12" ht="18" customHeight="1" x14ac:dyDescent="0.25">
      <c r="A5" s="67" t="s">
        <v>33</v>
      </c>
      <c r="B5" s="67"/>
      <c r="C5" s="67"/>
      <c r="D5" s="67"/>
      <c r="E5" s="67"/>
      <c r="F5" s="67"/>
      <c r="G5" s="67"/>
      <c r="H5" s="67"/>
      <c r="I5" s="67"/>
      <c r="J5" s="67"/>
      <c r="K5" s="33"/>
      <c r="L5" s="33"/>
    </row>
    <row r="6" spans="1:12" ht="18" x14ac:dyDescent="0.25">
      <c r="A6" s="1"/>
      <c r="B6" s="2"/>
      <c r="C6" s="2"/>
      <c r="D6" s="2"/>
      <c r="E6" s="7"/>
      <c r="F6" s="7"/>
      <c r="G6" s="7"/>
      <c r="H6" s="8"/>
      <c r="I6" s="8"/>
      <c r="J6" s="26"/>
    </row>
    <row r="7" spans="1:12" ht="25.5" x14ac:dyDescent="0.25">
      <c r="A7" s="78" t="s">
        <v>11</v>
      </c>
      <c r="B7" s="79"/>
      <c r="C7" s="79"/>
      <c r="D7" s="79"/>
      <c r="E7" s="79"/>
      <c r="F7" s="37" t="s">
        <v>44</v>
      </c>
      <c r="G7" s="37" t="s">
        <v>45</v>
      </c>
      <c r="H7" s="4" t="s">
        <v>46</v>
      </c>
      <c r="I7" s="4" t="s">
        <v>47</v>
      </c>
      <c r="J7" s="4" t="s">
        <v>48</v>
      </c>
    </row>
    <row r="8" spans="1:12" ht="12" customHeight="1" x14ac:dyDescent="0.25">
      <c r="A8" s="80">
        <v>1</v>
      </c>
      <c r="B8" s="80"/>
      <c r="C8" s="80"/>
      <c r="D8" s="80"/>
      <c r="E8" s="80"/>
      <c r="F8" s="42">
        <v>2</v>
      </c>
      <c r="G8" s="42">
        <v>3</v>
      </c>
      <c r="H8" s="43">
        <v>4</v>
      </c>
      <c r="I8" s="43">
        <v>5</v>
      </c>
      <c r="J8" s="43">
        <v>6</v>
      </c>
    </row>
    <row r="9" spans="1:12" x14ac:dyDescent="0.25">
      <c r="A9" s="76" t="s">
        <v>35</v>
      </c>
      <c r="B9" s="73"/>
      <c r="C9" s="73"/>
      <c r="D9" s="73"/>
      <c r="E9" s="69"/>
      <c r="F9" s="93">
        <f>35139929.46/7.5345</f>
        <v>4663870.1254230542</v>
      </c>
      <c r="G9" s="93">
        <v>8785555.1699999999</v>
      </c>
      <c r="H9" s="94">
        <v>5525512</v>
      </c>
      <c r="I9" s="94">
        <v>5648547</v>
      </c>
      <c r="J9" s="94">
        <v>5665487</v>
      </c>
    </row>
    <row r="10" spans="1:12" x14ac:dyDescent="0.25">
      <c r="A10" s="77" t="s">
        <v>36</v>
      </c>
      <c r="B10" s="69"/>
      <c r="C10" s="69"/>
      <c r="D10" s="69"/>
      <c r="E10" s="69"/>
      <c r="F10" s="93">
        <v>0</v>
      </c>
      <c r="G10" s="93">
        <v>0</v>
      </c>
      <c r="H10" s="94">
        <v>0</v>
      </c>
      <c r="I10" s="95"/>
      <c r="J10" s="94">
        <v>0</v>
      </c>
    </row>
    <row r="11" spans="1:12" x14ac:dyDescent="0.25">
      <c r="A11" s="74" t="s">
        <v>0</v>
      </c>
      <c r="B11" s="71"/>
      <c r="C11" s="71"/>
      <c r="D11" s="71"/>
      <c r="E11" s="75"/>
      <c r="F11" s="96">
        <f>SUM(F9:F10)</f>
        <v>4663870.1254230542</v>
      </c>
      <c r="G11" s="96">
        <f>+G10+G9</f>
        <v>8785555.1699999999</v>
      </c>
      <c r="H11" s="97">
        <f>+H10+H9</f>
        <v>5525512</v>
      </c>
      <c r="I11" s="97">
        <f t="shared" ref="I11:J11" si="0">+I10+I9</f>
        <v>5648547</v>
      </c>
      <c r="J11" s="97">
        <f t="shared" si="0"/>
        <v>5665487</v>
      </c>
    </row>
    <row r="12" spans="1:12" x14ac:dyDescent="0.25">
      <c r="A12" s="72" t="s">
        <v>37</v>
      </c>
      <c r="B12" s="73"/>
      <c r="C12" s="73"/>
      <c r="D12" s="73"/>
      <c r="E12" s="73"/>
      <c r="F12" s="98">
        <f>32427126.6/7.5345</f>
        <v>4303819.3111686241</v>
      </c>
      <c r="G12" s="98">
        <v>4562157.47</v>
      </c>
      <c r="H12" s="94">
        <v>5049450</v>
      </c>
      <c r="I12" s="94">
        <v>5063982</v>
      </c>
      <c r="J12" s="99">
        <v>5080922</v>
      </c>
    </row>
    <row r="13" spans="1:12" x14ac:dyDescent="0.25">
      <c r="A13" s="68" t="s">
        <v>38</v>
      </c>
      <c r="B13" s="69"/>
      <c r="C13" s="69"/>
      <c r="D13" s="69"/>
      <c r="E13" s="69"/>
      <c r="F13" s="93">
        <f>3858432.55/7.5345</f>
        <v>512102.004114407</v>
      </c>
      <c r="G13" s="93">
        <v>4159240.29</v>
      </c>
      <c r="H13" s="100">
        <v>676235</v>
      </c>
      <c r="I13" s="100">
        <v>619985</v>
      </c>
      <c r="J13" s="99">
        <v>619985</v>
      </c>
    </row>
    <row r="14" spans="1:12" x14ac:dyDescent="0.25">
      <c r="A14" s="27" t="s">
        <v>1</v>
      </c>
      <c r="B14" s="28"/>
      <c r="C14" s="28"/>
      <c r="D14" s="28"/>
      <c r="E14" s="28"/>
      <c r="F14" s="96">
        <f>SUM(F12:F13)</f>
        <v>4815921.3152830312</v>
      </c>
      <c r="G14" s="96">
        <f>+G13+G12</f>
        <v>8721397.7599999998</v>
      </c>
      <c r="H14" s="96">
        <f>+H13+H12</f>
        <v>5725685</v>
      </c>
      <c r="I14" s="96">
        <f t="shared" ref="I14:J14" si="1">+I13+I12</f>
        <v>5683967</v>
      </c>
      <c r="J14" s="96">
        <f t="shared" si="1"/>
        <v>5700907</v>
      </c>
    </row>
    <row r="15" spans="1:12" x14ac:dyDescent="0.25">
      <c r="A15" s="70" t="s">
        <v>2</v>
      </c>
      <c r="B15" s="71"/>
      <c r="C15" s="71"/>
      <c r="D15" s="71"/>
      <c r="E15" s="71"/>
      <c r="F15" s="101">
        <f>+F9-F14</f>
        <v>-152051.18985997699</v>
      </c>
      <c r="G15" s="101">
        <f>+G9-G14</f>
        <v>64157.410000000149</v>
      </c>
      <c r="H15" s="101">
        <f t="shared" ref="H15:J15" si="2">+H9-H14</f>
        <v>-200173</v>
      </c>
      <c r="I15" s="101">
        <f t="shared" si="2"/>
        <v>-35420</v>
      </c>
      <c r="J15" s="101">
        <f t="shared" si="2"/>
        <v>-35420</v>
      </c>
    </row>
    <row r="16" spans="1:12" ht="18" x14ac:dyDescent="0.25">
      <c r="A16" s="5"/>
      <c r="B16" s="9"/>
      <c r="C16" s="9"/>
      <c r="D16" s="9"/>
      <c r="E16" s="9"/>
      <c r="F16" s="21"/>
      <c r="G16" s="21"/>
      <c r="H16" s="9"/>
      <c r="I16" s="9"/>
      <c r="J16" s="3"/>
      <c r="K16" s="3"/>
      <c r="L16" s="3"/>
    </row>
    <row r="17" spans="1:12" ht="18" customHeight="1" x14ac:dyDescent="0.25">
      <c r="A17" s="67" t="s">
        <v>34</v>
      </c>
      <c r="B17" s="67"/>
      <c r="C17" s="67"/>
      <c r="D17" s="67"/>
      <c r="E17" s="67"/>
      <c r="F17" s="67"/>
      <c r="G17" s="67"/>
      <c r="H17" s="67"/>
      <c r="I17" s="67"/>
      <c r="J17" s="67"/>
      <c r="K17" s="33"/>
      <c r="L17" s="33"/>
    </row>
    <row r="18" spans="1:12" ht="18" x14ac:dyDescent="0.25">
      <c r="A18" s="23"/>
      <c r="B18" s="21"/>
      <c r="C18" s="21"/>
      <c r="D18" s="21"/>
      <c r="E18" s="21"/>
      <c r="F18" s="21"/>
      <c r="G18" s="21"/>
      <c r="H18" s="22"/>
      <c r="I18" s="22"/>
      <c r="J18" s="22"/>
    </row>
    <row r="19" spans="1:12" ht="25.5" x14ac:dyDescent="0.25">
      <c r="A19" s="78" t="s">
        <v>11</v>
      </c>
      <c r="B19" s="79"/>
      <c r="C19" s="79"/>
      <c r="D19" s="79"/>
      <c r="E19" s="79"/>
      <c r="F19" s="37" t="s">
        <v>44</v>
      </c>
      <c r="G19" s="37" t="s">
        <v>45</v>
      </c>
      <c r="H19" s="4" t="s">
        <v>46</v>
      </c>
      <c r="I19" s="4" t="s">
        <v>47</v>
      </c>
      <c r="J19" s="4" t="s">
        <v>48</v>
      </c>
    </row>
    <row r="20" spans="1:12" ht="12" customHeight="1" x14ac:dyDescent="0.25">
      <c r="A20" s="80">
        <v>1</v>
      </c>
      <c r="B20" s="80"/>
      <c r="C20" s="80"/>
      <c r="D20" s="80"/>
      <c r="E20" s="80"/>
      <c r="F20" s="42">
        <v>2</v>
      </c>
      <c r="G20" s="42">
        <v>3</v>
      </c>
      <c r="H20" s="43">
        <v>4</v>
      </c>
      <c r="I20" s="43">
        <v>5</v>
      </c>
      <c r="J20" s="43">
        <v>6</v>
      </c>
    </row>
    <row r="21" spans="1:12" ht="15.75" customHeight="1" x14ac:dyDescent="0.25">
      <c r="A21" s="76" t="s">
        <v>39</v>
      </c>
      <c r="B21" s="83"/>
      <c r="C21" s="83"/>
      <c r="D21" s="83"/>
      <c r="E21" s="83"/>
      <c r="F21" s="102"/>
      <c r="G21" s="102"/>
      <c r="H21" s="103"/>
      <c r="I21" s="103"/>
      <c r="J21" s="103"/>
    </row>
    <row r="22" spans="1:12" x14ac:dyDescent="0.25">
      <c r="A22" s="76" t="s">
        <v>40</v>
      </c>
      <c r="B22" s="73"/>
      <c r="C22" s="73"/>
      <c r="D22" s="73"/>
      <c r="E22" s="73"/>
      <c r="F22" s="98"/>
      <c r="G22" s="98"/>
      <c r="H22" s="103"/>
      <c r="I22" s="103"/>
      <c r="J22" s="103"/>
    </row>
    <row r="23" spans="1:12" x14ac:dyDescent="0.25">
      <c r="A23" s="74" t="s">
        <v>41</v>
      </c>
      <c r="B23" s="71"/>
      <c r="C23" s="71"/>
      <c r="D23" s="71"/>
      <c r="E23" s="75"/>
      <c r="F23" s="104"/>
      <c r="G23" s="104"/>
      <c r="H23" s="97">
        <v>0</v>
      </c>
      <c r="I23" s="97">
        <v>0</v>
      </c>
      <c r="J23" s="97">
        <v>0</v>
      </c>
    </row>
    <row r="24" spans="1:12" x14ac:dyDescent="0.25">
      <c r="A24" s="81" t="s">
        <v>22</v>
      </c>
      <c r="B24" s="82"/>
      <c r="C24" s="82"/>
      <c r="D24" s="82"/>
      <c r="E24" s="82"/>
      <c r="F24" s="105"/>
      <c r="G24" s="105"/>
      <c r="H24" s="106">
        <v>353318</v>
      </c>
      <c r="I24" s="106">
        <v>153145</v>
      </c>
      <c r="J24" s="106">
        <v>117725</v>
      </c>
    </row>
    <row r="25" spans="1:12" x14ac:dyDescent="0.25">
      <c r="A25" s="81" t="s">
        <v>42</v>
      </c>
      <c r="B25" s="82"/>
      <c r="C25" s="82"/>
      <c r="D25" s="82"/>
      <c r="E25" s="82"/>
      <c r="F25" s="105"/>
      <c r="G25" s="105">
        <v>353318</v>
      </c>
      <c r="H25" s="106">
        <v>153145</v>
      </c>
      <c r="I25" s="106">
        <v>117725</v>
      </c>
      <c r="J25" s="106">
        <v>82305</v>
      </c>
    </row>
    <row r="26" spans="1:12" ht="16.5" customHeight="1" x14ac:dyDescent="0.25">
      <c r="A26" s="70" t="s">
        <v>3</v>
      </c>
      <c r="B26" s="71"/>
      <c r="C26" s="71"/>
      <c r="D26" s="71"/>
      <c r="E26" s="71"/>
      <c r="F26" s="101"/>
      <c r="G26" s="101"/>
      <c r="H26" s="97">
        <f>+H24-H25</f>
        <v>200173</v>
      </c>
      <c r="I26" s="97">
        <f t="shared" ref="I26:J26" si="3">+I24-I25</f>
        <v>35420</v>
      </c>
      <c r="J26" s="97">
        <f t="shared" si="3"/>
        <v>35420</v>
      </c>
    </row>
    <row r="27" spans="1:12" x14ac:dyDescent="0.25">
      <c r="A27" s="70" t="s">
        <v>4</v>
      </c>
      <c r="B27" s="71"/>
      <c r="C27" s="71"/>
      <c r="D27" s="71"/>
      <c r="E27" s="71"/>
      <c r="F27" s="101"/>
      <c r="G27" s="101"/>
      <c r="H27" s="97">
        <f>+H15+H26</f>
        <v>0</v>
      </c>
      <c r="I27" s="97">
        <f t="shared" ref="I27:J27" si="4">+I15+I26</f>
        <v>0</v>
      </c>
      <c r="J27" s="97">
        <f t="shared" si="4"/>
        <v>0</v>
      </c>
    </row>
    <row r="28" spans="1:12" ht="11.25" customHeight="1" x14ac:dyDescent="0.25">
      <c r="A28" s="18"/>
      <c r="B28" s="19"/>
      <c r="C28" s="19"/>
      <c r="D28" s="19"/>
      <c r="E28" s="19"/>
      <c r="F28" s="19"/>
      <c r="G28" s="19"/>
      <c r="H28" s="20"/>
      <c r="I28" s="20"/>
      <c r="J28" s="20"/>
      <c r="K28" s="20"/>
      <c r="L28" s="20"/>
    </row>
    <row r="29" spans="1:12" ht="15" customHeight="1" x14ac:dyDescent="0.25">
      <c r="A29" s="38" t="s">
        <v>43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</row>
    <row r="30" spans="1:12" ht="9" customHeight="1" x14ac:dyDescent="0.25"/>
    <row r="32" spans="1:12" x14ac:dyDescent="0.25">
      <c r="H32" s="60"/>
    </row>
    <row r="33" spans="8:8" x14ac:dyDescent="0.25">
      <c r="H33" s="60"/>
    </row>
  </sheetData>
  <mergeCells count="21">
    <mergeCell ref="A20:E20"/>
    <mergeCell ref="A27:E27"/>
    <mergeCell ref="A24:E24"/>
    <mergeCell ref="A25:E25"/>
    <mergeCell ref="A17:J17"/>
    <mergeCell ref="A21:E21"/>
    <mergeCell ref="A22:E22"/>
    <mergeCell ref="A26:E26"/>
    <mergeCell ref="A19:E19"/>
    <mergeCell ref="A23:E23"/>
    <mergeCell ref="A1:J1"/>
    <mergeCell ref="A3:J3"/>
    <mergeCell ref="A5:J5"/>
    <mergeCell ref="A13:E13"/>
    <mergeCell ref="A15:E15"/>
    <mergeCell ref="A12:E12"/>
    <mergeCell ref="A11:E11"/>
    <mergeCell ref="A9:E9"/>
    <mergeCell ref="A10:E10"/>
    <mergeCell ref="A7:E7"/>
    <mergeCell ref="A8:E8"/>
  </mergeCells>
  <pageMargins left="0.7" right="0.7" top="0.75" bottom="0.75" header="0.3" footer="0.3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opLeftCell="A4" workbookViewId="0">
      <selection activeCell="J24" sqref="J24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44.7109375" customWidth="1"/>
    <col min="4" max="8" width="19.42578125" customWidth="1"/>
    <col min="9" max="10" width="25.28515625" customWidth="1"/>
  </cols>
  <sheetData>
    <row r="1" spans="1:10" ht="18" x14ac:dyDescent="0.25">
      <c r="A1" s="5"/>
      <c r="B1" s="5"/>
      <c r="C1" s="5"/>
      <c r="D1" s="23"/>
      <c r="E1" s="23"/>
      <c r="F1" s="5"/>
      <c r="G1" s="5"/>
      <c r="H1" s="5"/>
      <c r="I1" s="5"/>
      <c r="J1" s="5"/>
    </row>
    <row r="2" spans="1:10" ht="15.75" x14ac:dyDescent="0.25">
      <c r="A2" s="67" t="s">
        <v>16</v>
      </c>
      <c r="B2" s="67"/>
      <c r="C2" s="67"/>
      <c r="D2" s="67"/>
      <c r="E2" s="67"/>
      <c r="F2" s="67"/>
      <c r="G2" s="67"/>
      <c r="H2" s="67"/>
      <c r="I2" s="34"/>
      <c r="J2" s="34"/>
    </row>
    <row r="3" spans="1:10" ht="18" x14ac:dyDescent="0.25">
      <c r="A3" s="5"/>
      <c r="B3" s="5"/>
      <c r="C3" s="5"/>
      <c r="D3" s="23"/>
      <c r="E3" s="23"/>
      <c r="F3" s="5"/>
      <c r="G3" s="5"/>
      <c r="H3" s="5"/>
      <c r="I3" s="6"/>
      <c r="J3" s="6"/>
    </row>
    <row r="4" spans="1:10" ht="15.75" x14ac:dyDescent="0.25">
      <c r="A4" s="67" t="s">
        <v>5</v>
      </c>
      <c r="B4" s="67"/>
      <c r="C4" s="67"/>
      <c r="D4" s="67"/>
      <c r="E4" s="67"/>
      <c r="F4" s="67"/>
      <c r="G4" s="67"/>
      <c r="H4" s="67"/>
      <c r="I4" s="33"/>
      <c r="J4" s="33"/>
    </row>
    <row r="5" spans="1:10" ht="18" x14ac:dyDescent="0.25">
      <c r="A5" s="5"/>
      <c r="B5" s="5"/>
      <c r="C5" s="5"/>
      <c r="D5" s="23"/>
      <c r="E5" s="23"/>
      <c r="F5" s="5"/>
      <c r="G5" s="5"/>
      <c r="H5" s="5"/>
      <c r="I5" s="6"/>
      <c r="J5" s="6"/>
    </row>
    <row r="6" spans="1:10" ht="15.75" x14ac:dyDescent="0.25">
      <c r="A6" s="67" t="s">
        <v>49</v>
      </c>
      <c r="B6" s="67"/>
      <c r="C6" s="67"/>
      <c r="D6" s="67"/>
      <c r="E6" s="67"/>
      <c r="F6" s="67"/>
      <c r="G6" s="67"/>
      <c r="H6" s="67"/>
      <c r="I6" s="35"/>
      <c r="J6" s="35"/>
    </row>
    <row r="7" spans="1:10" ht="18" x14ac:dyDescent="0.25">
      <c r="A7" s="5"/>
      <c r="B7" s="5"/>
      <c r="C7" s="5"/>
      <c r="D7" s="23"/>
      <c r="E7" s="23"/>
      <c r="F7" s="5"/>
      <c r="G7" s="5"/>
      <c r="H7" s="5"/>
      <c r="I7" s="6"/>
      <c r="J7" s="6"/>
    </row>
    <row r="8" spans="1:10" ht="25.5" x14ac:dyDescent="0.25">
      <c r="A8" s="84" t="s">
        <v>11</v>
      </c>
      <c r="B8" s="85"/>
      <c r="C8" s="86"/>
      <c r="D8" s="39" t="s">
        <v>44</v>
      </c>
      <c r="E8" s="39" t="s">
        <v>45</v>
      </c>
      <c r="F8" s="40" t="s">
        <v>46</v>
      </c>
      <c r="G8" s="40" t="s">
        <v>47</v>
      </c>
      <c r="H8" s="40" t="s">
        <v>48</v>
      </c>
    </row>
    <row r="9" spans="1:10" s="44" customFormat="1" ht="11.25" x14ac:dyDescent="0.2">
      <c r="A9" s="87">
        <v>1</v>
      </c>
      <c r="B9" s="88"/>
      <c r="C9" s="89"/>
      <c r="D9" s="46">
        <v>2</v>
      </c>
      <c r="E9" s="46">
        <v>3</v>
      </c>
      <c r="F9" s="47">
        <v>4</v>
      </c>
      <c r="G9" s="47">
        <v>5</v>
      </c>
      <c r="H9" s="47">
        <v>6</v>
      </c>
    </row>
    <row r="10" spans="1:10" x14ac:dyDescent="0.25">
      <c r="A10" s="11"/>
      <c r="B10" s="11"/>
      <c r="C10" s="11" t="s">
        <v>51</v>
      </c>
      <c r="D10" s="109">
        <f>+D11</f>
        <v>4663870.1254230542</v>
      </c>
      <c r="E10" s="109">
        <f>+E11</f>
        <v>8785555.1699999999</v>
      </c>
      <c r="F10" s="109">
        <f>+F11</f>
        <v>5525512</v>
      </c>
      <c r="G10" s="109">
        <f t="shared" ref="G10:H10" si="0">+G11</f>
        <v>5648547</v>
      </c>
      <c r="H10" s="109">
        <f t="shared" si="0"/>
        <v>5665487</v>
      </c>
    </row>
    <row r="11" spans="1:10" x14ac:dyDescent="0.25">
      <c r="A11" s="11">
        <v>6</v>
      </c>
      <c r="B11" s="11"/>
      <c r="C11" s="11" t="s">
        <v>6</v>
      </c>
      <c r="D11" s="109">
        <f>SUM(D12:D17)</f>
        <v>4663870.1254230542</v>
      </c>
      <c r="E11" s="109">
        <f>SUM(E12:E17)</f>
        <v>8785555.1699999999</v>
      </c>
      <c r="F11" s="109">
        <f>SUM(F12:F17)</f>
        <v>5525512</v>
      </c>
      <c r="G11" s="109">
        <f t="shared" ref="G11:H11" si="1">SUM(G12:G17)</f>
        <v>5648547</v>
      </c>
      <c r="H11" s="109">
        <f t="shared" si="1"/>
        <v>5665487</v>
      </c>
    </row>
    <row r="12" spans="1:10" ht="25.5" x14ac:dyDescent="0.25">
      <c r="A12" s="11"/>
      <c r="B12" s="15">
        <v>63</v>
      </c>
      <c r="C12" s="15" t="s">
        <v>20</v>
      </c>
      <c r="D12" s="110">
        <f>2130394.57/7.5345</f>
        <v>282751.95036166959</v>
      </c>
      <c r="E12" s="110">
        <v>3837690.75</v>
      </c>
      <c r="F12" s="59">
        <v>52717</v>
      </c>
      <c r="G12" s="59">
        <v>158895</v>
      </c>
      <c r="H12" s="59">
        <v>158895</v>
      </c>
    </row>
    <row r="13" spans="1:10" x14ac:dyDescent="0.25">
      <c r="A13" s="11"/>
      <c r="B13" s="15">
        <v>64</v>
      </c>
      <c r="C13" s="15" t="s">
        <v>58</v>
      </c>
      <c r="D13" s="110">
        <f>2437.77/7.5345</f>
        <v>323.54768066892291</v>
      </c>
      <c r="E13" s="110">
        <v>145.99</v>
      </c>
      <c r="F13" s="59">
        <v>600</v>
      </c>
      <c r="G13" s="59">
        <v>600</v>
      </c>
      <c r="H13" s="59">
        <v>600</v>
      </c>
    </row>
    <row r="14" spans="1:10" ht="25.5" x14ac:dyDescent="0.25">
      <c r="A14" s="11"/>
      <c r="B14" s="15">
        <v>65</v>
      </c>
      <c r="C14" s="15" t="s">
        <v>59</v>
      </c>
      <c r="D14" s="110">
        <f>304536.27/7.5345</f>
        <v>40418.909018514831</v>
      </c>
      <c r="E14" s="110">
        <v>33180.699999999997</v>
      </c>
      <c r="F14" s="59">
        <v>34000</v>
      </c>
      <c r="G14" s="59">
        <v>34000</v>
      </c>
      <c r="H14" s="59">
        <v>34000</v>
      </c>
    </row>
    <row r="15" spans="1:10" ht="25.5" x14ac:dyDescent="0.25">
      <c r="A15" s="12"/>
      <c r="B15" s="12">
        <v>66</v>
      </c>
      <c r="C15" s="15" t="s">
        <v>23</v>
      </c>
      <c r="D15" s="110">
        <f>2509096.58/7.5345</f>
        <v>333014.34468113346</v>
      </c>
      <c r="E15" s="110">
        <v>258091.43</v>
      </c>
      <c r="F15" s="59">
        <v>319300</v>
      </c>
      <c r="G15" s="59">
        <v>319300</v>
      </c>
      <c r="H15" s="59">
        <v>319300</v>
      </c>
    </row>
    <row r="16" spans="1:10" ht="25.5" x14ac:dyDescent="0.25">
      <c r="A16" s="12"/>
      <c r="B16" s="12">
        <v>67</v>
      </c>
      <c r="C16" s="15" t="s">
        <v>60</v>
      </c>
      <c r="D16" s="110">
        <f>30190756.73/7.5345</f>
        <v>4007002.0213683718</v>
      </c>
      <c r="E16" s="110">
        <v>4655782.6900000004</v>
      </c>
      <c r="F16" s="59">
        <v>5118795</v>
      </c>
      <c r="G16" s="59">
        <v>5135652</v>
      </c>
      <c r="H16" s="59">
        <v>5152592</v>
      </c>
    </row>
    <row r="17" spans="1:9" x14ac:dyDescent="0.25">
      <c r="A17" s="12"/>
      <c r="B17" s="12">
        <v>68</v>
      </c>
      <c r="C17" s="15" t="s">
        <v>61</v>
      </c>
      <c r="D17" s="110">
        <f>2707.54/7.5345</f>
        <v>359.35231269493659</v>
      </c>
      <c r="E17" s="110">
        <v>663.61</v>
      </c>
      <c r="F17" s="59">
        <v>100</v>
      </c>
      <c r="G17" s="59">
        <v>100</v>
      </c>
      <c r="H17" s="59">
        <v>100</v>
      </c>
    </row>
    <row r="19" spans="1:9" ht="25.5" customHeight="1" x14ac:dyDescent="0.25">
      <c r="A19" s="84" t="s">
        <v>11</v>
      </c>
      <c r="B19" s="85"/>
      <c r="C19" s="86"/>
      <c r="D19" s="39" t="s">
        <v>44</v>
      </c>
      <c r="E19" s="39" t="s">
        <v>45</v>
      </c>
      <c r="F19" s="40" t="s">
        <v>46</v>
      </c>
      <c r="G19" s="40" t="s">
        <v>47</v>
      </c>
      <c r="H19" s="40" t="s">
        <v>48</v>
      </c>
    </row>
    <row r="20" spans="1:9" s="44" customFormat="1" ht="11.25" x14ac:dyDescent="0.2">
      <c r="A20" s="87">
        <v>1</v>
      </c>
      <c r="B20" s="88"/>
      <c r="C20" s="89"/>
      <c r="D20" s="46">
        <v>2</v>
      </c>
      <c r="E20" s="46">
        <v>3</v>
      </c>
      <c r="F20" s="47">
        <v>4</v>
      </c>
      <c r="G20" s="47">
        <v>5</v>
      </c>
      <c r="H20" s="47">
        <v>6</v>
      </c>
    </row>
    <row r="21" spans="1:9" x14ac:dyDescent="0.25">
      <c r="A21" s="11"/>
      <c r="B21" s="11"/>
      <c r="C21" s="11" t="s">
        <v>52</v>
      </c>
      <c r="D21" s="107">
        <f>+D22+D28</f>
        <v>4815921.3152830312</v>
      </c>
      <c r="E21" s="107">
        <f>+E22+E28</f>
        <v>8721397.7599999998</v>
      </c>
      <c r="F21" s="107">
        <f t="shared" ref="F21:H21" si="2">+F22+F28</f>
        <v>5725685</v>
      </c>
      <c r="G21" s="107">
        <f t="shared" si="2"/>
        <v>5683967</v>
      </c>
      <c r="H21" s="107">
        <f t="shared" si="2"/>
        <v>5700907</v>
      </c>
    </row>
    <row r="22" spans="1:9" x14ac:dyDescent="0.25">
      <c r="A22" s="11">
        <v>3</v>
      </c>
      <c r="B22" s="11"/>
      <c r="C22" s="11" t="s">
        <v>7</v>
      </c>
      <c r="D22" s="107">
        <f>SUM(D23:D27)</f>
        <v>4303819.3111686241</v>
      </c>
      <c r="E22" s="107">
        <f>+E23+E24+E25+E26+E27</f>
        <v>4562157.4700000007</v>
      </c>
      <c r="F22" s="107">
        <f t="shared" ref="F22:H22" si="3">+F23+F24+F25+F26+F27</f>
        <v>5049450</v>
      </c>
      <c r="G22" s="107">
        <f t="shared" si="3"/>
        <v>5063982</v>
      </c>
      <c r="H22" s="107">
        <f t="shared" si="3"/>
        <v>5080922</v>
      </c>
      <c r="I22" s="50"/>
    </row>
    <row r="23" spans="1:9" x14ac:dyDescent="0.25">
      <c r="A23" s="11"/>
      <c r="B23" s="15">
        <v>31</v>
      </c>
      <c r="C23" s="15" t="s">
        <v>8</v>
      </c>
      <c r="D23" s="108">
        <f>23702235.84/7.5345</f>
        <v>3145827.3063906031</v>
      </c>
      <c r="E23" s="108">
        <v>3327202.12</v>
      </c>
      <c r="F23" s="65">
        <v>3603331</v>
      </c>
      <c r="G23" s="65">
        <v>3617863</v>
      </c>
      <c r="H23" s="65">
        <v>3634803</v>
      </c>
    </row>
    <row r="24" spans="1:9" x14ac:dyDescent="0.25">
      <c r="A24" s="12"/>
      <c r="B24" s="12">
        <v>32</v>
      </c>
      <c r="C24" s="12" t="s">
        <v>17</v>
      </c>
      <c r="D24" s="111">
        <f>8655568.26/7.5345</f>
        <v>1148791.3278916981</v>
      </c>
      <c r="E24" s="111">
        <v>1228451.94</v>
      </c>
      <c r="F24" s="65">
        <v>1440119</v>
      </c>
      <c r="G24" s="65">
        <v>1440119</v>
      </c>
      <c r="H24" s="65">
        <v>1440119</v>
      </c>
    </row>
    <row r="25" spans="1:9" x14ac:dyDescent="0.25">
      <c r="A25" s="12"/>
      <c r="B25" s="12">
        <v>34</v>
      </c>
      <c r="C25" s="12" t="s">
        <v>62</v>
      </c>
      <c r="D25" s="111">
        <f>54322.5/7.5345</f>
        <v>7209.834760103523</v>
      </c>
      <c r="E25" s="111">
        <v>5176.18</v>
      </c>
      <c r="F25" s="65">
        <v>4700</v>
      </c>
      <c r="G25" s="65">
        <v>4700</v>
      </c>
      <c r="H25" s="65">
        <v>4700</v>
      </c>
    </row>
    <row r="26" spans="1:9" ht="25.5" x14ac:dyDescent="0.25">
      <c r="A26" s="12"/>
      <c r="B26" s="12">
        <v>37</v>
      </c>
      <c r="C26" s="32" t="s">
        <v>63</v>
      </c>
      <c r="D26" s="111">
        <f>13000/7.5345</f>
        <v>1725.3965093901386</v>
      </c>
      <c r="E26" s="111">
        <v>1327.23</v>
      </c>
      <c r="F26" s="65">
        <v>1300</v>
      </c>
      <c r="G26" s="65">
        <v>1300</v>
      </c>
      <c r="H26" s="65">
        <v>1300</v>
      </c>
    </row>
    <row r="27" spans="1:9" x14ac:dyDescent="0.25">
      <c r="A27" s="12"/>
      <c r="B27" s="12">
        <v>38</v>
      </c>
      <c r="C27" s="12" t="s">
        <v>64</v>
      </c>
      <c r="D27" s="111">
        <f>2000/7.5345</f>
        <v>265.44561682925212</v>
      </c>
      <c r="E27" s="111">
        <v>0</v>
      </c>
      <c r="F27" s="65">
        <v>0</v>
      </c>
      <c r="G27" s="65">
        <v>0</v>
      </c>
      <c r="H27" s="65">
        <v>0</v>
      </c>
    </row>
    <row r="28" spans="1:9" x14ac:dyDescent="0.25">
      <c r="A28" s="13">
        <v>4</v>
      </c>
      <c r="B28" s="14"/>
      <c r="C28" s="24" t="s">
        <v>9</v>
      </c>
      <c r="D28" s="107">
        <f>SUM(D29:D31)</f>
        <v>512102.00411440706</v>
      </c>
      <c r="E28" s="107">
        <f>SUM(E29:E32)</f>
        <v>4159240.2899999996</v>
      </c>
      <c r="F28" s="107">
        <f t="shared" ref="F28:H28" si="4">SUM(F29:F32)</f>
        <v>676235</v>
      </c>
      <c r="G28" s="107">
        <f t="shared" si="4"/>
        <v>619985</v>
      </c>
      <c r="H28" s="107">
        <f t="shared" si="4"/>
        <v>619985</v>
      </c>
    </row>
    <row r="29" spans="1:9" ht="25.5" x14ac:dyDescent="0.25">
      <c r="A29" s="15"/>
      <c r="B29" s="15">
        <v>41</v>
      </c>
      <c r="C29" s="25" t="s">
        <v>10</v>
      </c>
      <c r="D29" s="108">
        <f>455530/7.5345</f>
        <v>60459.220917114602</v>
      </c>
      <c r="E29" s="108">
        <v>9768.86</v>
      </c>
      <c r="F29" s="65">
        <v>33150</v>
      </c>
      <c r="G29" s="65">
        <v>33150</v>
      </c>
      <c r="H29" s="91">
        <v>33150</v>
      </c>
      <c r="I29" s="60"/>
    </row>
    <row r="30" spans="1:9" x14ac:dyDescent="0.25">
      <c r="A30" s="15"/>
      <c r="B30" s="15">
        <v>42</v>
      </c>
      <c r="C30" s="25" t="s">
        <v>65</v>
      </c>
      <c r="D30" s="108">
        <f>3227844.99/7.5345</f>
        <v>428408.65219988057</v>
      </c>
      <c r="E30" s="108">
        <v>196429.75</v>
      </c>
      <c r="F30" s="65">
        <v>225585</v>
      </c>
      <c r="G30" s="65">
        <v>169335</v>
      </c>
      <c r="H30" s="91">
        <v>169335</v>
      </c>
    </row>
    <row r="31" spans="1:9" ht="25.5" customHeight="1" x14ac:dyDescent="0.25">
      <c r="A31" s="15"/>
      <c r="B31" s="15">
        <v>43</v>
      </c>
      <c r="C31" s="56" t="s">
        <v>66</v>
      </c>
      <c r="D31" s="108">
        <f>175057.56/7.5345</f>
        <v>23234.130997411903</v>
      </c>
      <c r="E31" s="108">
        <v>40439.65</v>
      </c>
      <c r="F31" s="65">
        <v>30500</v>
      </c>
      <c r="G31" s="65">
        <v>30500</v>
      </c>
      <c r="H31" s="91">
        <v>30500</v>
      </c>
    </row>
    <row r="32" spans="1:9" ht="25.5" x14ac:dyDescent="0.25">
      <c r="A32" s="45"/>
      <c r="B32" s="64">
        <v>45</v>
      </c>
      <c r="C32" s="15" t="s">
        <v>67</v>
      </c>
      <c r="D32" s="92">
        <v>0</v>
      </c>
      <c r="E32" s="92">
        <v>3912602.03</v>
      </c>
      <c r="F32" s="92">
        <v>387000</v>
      </c>
      <c r="G32" s="92">
        <v>387000</v>
      </c>
      <c r="H32" s="92">
        <v>387000</v>
      </c>
    </row>
  </sheetData>
  <mergeCells count="7">
    <mergeCell ref="A19:C19"/>
    <mergeCell ref="A9:C9"/>
    <mergeCell ref="A20:C20"/>
    <mergeCell ref="A2:H2"/>
    <mergeCell ref="A4:H4"/>
    <mergeCell ref="A6:H6"/>
    <mergeCell ref="A8:C8"/>
  </mergeCells>
  <pageMargins left="0.7" right="0.7" top="0.75" bottom="0.75" header="0.3" footer="0.3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workbookViewId="0">
      <selection activeCell="G23" sqref="G23"/>
    </sheetView>
  </sheetViews>
  <sheetFormatPr defaultRowHeight="15" x14ac:dyDescent="0.25"/>
  <cols>
    <col min="1" max="1" width="44.7109375" customWidth="1"/>
    <col min="2" max="6" width="19.42578125" customWidth="1"/>
    <col min="7" max="8" width="25.28515625" customWidth="1"/>
  </cols>
  <sheetData>
    <row r="1" spans="1:8" ht="18" x14ac:dyDescent="0.25">
      <c r="A1" s="23"/>
      <c r="B1" s="23"/>
      <c r="C1" s="23"/>
      <c r="D1" s="23"/>
      <c r="E1" s="23"/>
      <c r="F1" s="23"/>
      <c r="G1" s="23"/>
      <c r="H1" s="23"/>
    </row>
    <row r="2" spans="1:8" ht="15.75" customHeight="1" x14ac:dyDescent="0.25">
      <c r="A2" s="67" t="s">
        <v>50</v>
      </c>
      <c r="B2" s="67"/>
      <c r="C2" s="67"/>
      <c r="D2" s="67"/>
      <c r="E2" s="67"/>
      <c r="F2" s="67"/>
      <c r="G2" s="35"/>
      <c r="H2" s="35"/>
    </row>
    <row r="3" spans="1:8" ht="18" x14ac:dyDescent="0.25">
      <c r="A3" s="23"/>
      <c r="B3" s="23"/>
      <c r="C3" s="23"/>
      <c r="D3" s="23"/>
      <c r="E3" s="23"/>
      <c r="F3" s="23"/>
      <c r="G3" s="6"/>
      <c r="H3" s="6"/>
    </row>
    <row r="4" spans="1:8" ht="25.5" customHeight="1" x14ac:dyDescent="0.25">
      <c r="A4" s="41" t="s">
        <v>11</v>
      </c>
      <c r="B4" s="39" t="s">
        <v>44</v>
      </c>
      <c r="C4" s="39" t="s">
        <v>45</v>
      </c>
      <c r="D4" s="40" t="s">
        <v>46</v>
      </c>
      <c r="E4" s="40" t="s">
        <v>47</v>
      </c>
      <c r="F4" s="40" t="s">
        <v>48</v>
      </c>
    </row>
    <row r="5" spans="1:8" s="44" customFormat="1" ht="11.25" x14ac:dyDescent="0.2">
      <c r="A5" s="48">
        <v>1</v>
      </c>
      <c r="B5" s="46">
        <v>2</v>
      </c>
      <c r="C5" s="46">
        <v>3</v>
      </c>
      <c r="D5" s="47">
        <v>4</v>
      </c>
      <c r="E5" s="47">
        <v>5</v>
      </c>
      <c r="F5" s="47">
        <v>6</v>
      </c>
    </row>
    <row r="6" spans="1:8" x14ac:dyDescent="0.25">
      <c r="A6" s="11" t="s">
        <v>51</v>
      </c>
      <c r="B6" s="109">
        <f>+B7+B9+B11+B13+B17</f>
        <v>4663870.1291897269</v>
      </c>
      <c r="C6" s="109">
        <f>+C7+C9+C11+C13+C17</f>
        <v>8785555.1700000018</v>
      </c>
      <c r="D6" s="109">
        <f t="shared" ref="D6:F6" si="0">+D7+D9+D11+D13+D17</f>
        <v>5525512</v>
      </c>
      <c r="E6" s="109">
        <f t="shared" si="0"/>
        <v>5648547</v>
      </c>
      <c r="F6" s="109">
        <f t="shared" si="0"/>
        <v>5665487</v>
      </c>
    </row>
    <row r="7" spans="1:8" x14ac:dyDescent="0.25">
      <c r="A7" s="11" t="s">
        <v>24</v>
      </c>
      <c r="B7" s="109">
        <f>+B8</f>
        <v>4007002.0213683718</v>
      </c>
      <c r="C7" s="109">
        <f>+C8</f>
        <v>4655782.6900000004</v>
      </c>
      <c r="D7" s="109">
        <f t="shared" ref="D7:F7" si="1">+D8</f>
        <v>5118795</v>
      </c>
      <c r="E7" s="109">
        <f t="shared" si="1"/>
        <v>5135652</v>
      </c>
      <c r="F7" s="109">
        <f t="shared" si="1"/>
        <v>5152592</v>
      </c>
    </row>
    <row r="8" spans="1:8" x14ac:dyDescent="0.25">
      <c r="A8" s="29" t="s">
        <v>25</v>
      </c>
      <c r="B8" s="110">
        <f>30190756.73/7.5345</f>
        <v>4007002.0213683718</v>
      </c>
      <c r="C8" s="110">
        <v>4655782.6900000004</v>
      </c>
      <c r="D8" s="59">
        <v>5118795</v>
      </c>
      <c r="E8" s="59">
        <v>5135652</v>
      </c>
      <c r="F8" s="59">
        <v>5152592</v>
      </c>
    </row>
    <row r="9" spans="1:8" x14ac:dyDescent="0.25">
      <c r="A9" s="11" t="s">
        <v>30</v>
      </c>
      <c r="B9" s="109">
        <f>+B10</f>
        <v>331786.03999999998</v>
      </c>
      <c r="C9" s="109">
        <f>+C10</f>
        <v>238901.03</v>
      </c>
      <c r="D9" s="109">
        <f t="shared" ref="D9:F9" si="2">+D10</f>
        <v>310000</v>
      </c>
      <c r="E9" s="109">
        <f t="shared" si="2"/>
        <v>310000</v>
      </c>
      <c r="F9" s="109">
        <f t="shared" si="2"/>
        <v>310000</v>
      </c>
    </row>
    <row r="10" spans="1:8" x14ac:dyDescent="0.25">
      <c r="A10" s="31" t="s">
        <v>31</v>
      </c>
      <c r="B10" s="110">
        <v>331786.03999999998</v>
      </c>
      <c r="C10" s="110">
        <v>238901.03</v>
      </c>
      <c r="D10" s="59">
        <v>310000</v>
      </c>
      <c r="E10" s="59">
        <v>310000</v>
      </c>
      <c r="F10" s="59">
        <v>310000</v>
      </c>
    </row>
    <row r="11" spans="1:8" x14ac:dyDescent="0.25">
      <c r="A11" s="11" t="s">
        <v>68</v>
      </c>
      <c r="B11" s="109">
        <f>+B12</f>
        <v>40418.909018514831</v>
      </c>
      <c r="C11" s="109">
        <f>+C12</f>
        <v>33180.699999999997</v>
      </c>
      <c r="D11" s="109">
        <f t="shared" ref="D11:F11" si="3">+D12</f>
        <v>34000</v>
      </c>
      <c r="E11" s="109">
        <f t="shared" si="3"/>
        <v>34000</v>
      </c>
      <c r="F11" s="109">
        <f t="shared" si="3"/>
        <v>34000</v>
      </c>
    </row>
    <row r="12" spans="1:8" x14ac:dyDescent="0.25">
      <c r="A12" s="31" t="s">
        <v>71</v>
      </c>
      <c r="B12" s="110">
        <f>304536.27/7.5345</f>
        <v>40418.909018514831</v>
      </c>
      <c r="C12" s="110">
        <v>33180.699999999997</v>
      </c>
      <c r="D12" s="59">
        <v>34000</v>
      </c>
      <c r="E12" s="59">
        <v>34000</v>
      </c>
      <c r="F12" s="59">
        <v>34000</v>
      </c>
    </row>
    <row r="13" spans="1:8" x14ac:dyDescent="0.25">
      <c r="A13" s="11" t="s">
        <v>69</v>
      </c>
      <c r="B13" s="109">
        <f>+B14+B15+B16</f>
        <v>282751.95036166959</v>
      </c>
      <c r="C13" s="109">
        <f>+C14+C15+C16</f>
        <v>3837690.75</v>
      </c>
      <c r="D13" s="109">
        <f t="shared" ref="D13:F13" si="4">+D14+D15+D16</f>
        <v>52717</v>
      </c>
      <c r="E13" s="109">
        <f t="shared" si="4"/>
        <v>158895</v>
      </c>
      <c r="F13" s="109">
        <f t="shared" si="4"/>
        <v>158895</v>
      </c>
    </row>
    <row r="14" spans="1:8" x14ac:dyDescent="0.25">
      <c r="A14" s="31" t="s">
        <v>72</v>
      </c>
      <c r="B14" s="110">
        <f>2396.32/7.5345</f>
        <v>318.04632026013672</v>
      </c>
      <c r="C14" s="110">
        <v>0</v>
      </c>
      <c r="D14" s="59">
        <v>0</v>
      </c>
      <c r="E14" s="59">
        <v>0</v>
      </c>
      <c r="F14" s="59">
        <v>0</v>
      </c>
    </row>
    <row r="15" spans="1:8" x14ac:dyDescent="0.25">
      <c r="A15" s="31" t="s">
        <v>73</v>
      </c>
      <c r="B15" s="110">
        <f>1953642/7.5345</f>
        <v>259292.85287676685</v>
      </c>
      <c r="C15" s="110">
        <v>217078.9</v>
      </c>
      <c r="D15" s="59">
        <v>52717</v>
      </c>
      <c r="E15" s="59">
        <v>158895</v>
      </c>
      <c r="F15" s="59">
        <v>158895</v>
      </c>
    </row>
    <row r="16" spans="1:8" x14ac:dyDescent="0.25">
      <c r="A16" s="31" t="s">
        <v>74</v>
      </c>
      <c r="B16" s="110">
        <f>174356.25/7.5345</f>
        <v>23141.051164642642</v>
      </c>
      <c r="C16" s="110">
        <v>3620611.85</v>
      </c>
      <c r="D16" s="59">
        <v>0</v>
      </c>
      <c r="E16" s="59">
        <v>0</v>
      </c>
      <c r="F16" s="59">
        <v>0</v>
      </c>
    </row>
    <row r="17" spans="1:7" x14ac:dyDescent="0.25">
      <c r="A17" s="11" t="s">
        <v>70</v>
      </c>
      <c r="B17" s="109">
        <f>SUM(B18)</f>
        <v>1911.2084411706151</v>
      </c>
      <c r="C17" s="109">
        <f>SUM(C18)</f>
        <v>20000</v>
      </c>
      <c r="D17" s="109">
        <f t="shared" ref="D17:F17" si="5">SUM(D18)</f>
        <v>10000</v>
      </c>
      <c r="E17" s="109">
        <f t="shared" si="5"/>
        <v>10000</v>
      </c>
      <c r="F17" s="109">
        <f t="shared" si="5"/>
        <v>10000</v>
      </c>
    </row>
    <row r="18" spans="1:7" x14ac:dyDescent="0.25">
      <c r="A18" s="31" t="s">
        <v>75</v>
      </c>
      <c r="B18" s="110">
        <f>14400/7.5345</f>
        <v>1911.2084411706151</v>
      </c>
      <c r="C18" s="110">
        <v>20000</v>
      </c>
      <c r="D18" s="59">
        <v>10000</v>
      </c>
      <c r="E18" s="59">
        <v>10000</v>
      </c>
      <c r="F18" s="59">
        <v>10000</v>
      </c>
    </row>
    <row r="19" spans="1:7" x14ac:dyDescent="0.25">
      <c r="B19" s="112"/>
      <c r="C19" s="113"/>
      <c r="D19" s="113"/>
      <c r="E19" s="113"/>
      <c r="F19" s="113"/>
    </row>
    <row r="20" spans="1:7" x14ac:dyDescent="0.25">
      <c r="A20" s="11" t="s">
        <v>52</v>
      </c>
      <c r="B20" s="109">
        <f>+B21+B23+B25+B27+B31</f>
        <v>4815921.3152830312</v>
      </c>
      <c r="C20" s="109">
        <f>+C21+C23+C25+C27+C31</f>
        <v>8721397.7600000016</v>
      </c>
      <c r="D20" s="109">
        <f t="shared" ref="D20:F20" si="6">+D21+D23+D25+D27+D31</f>
        <v>5725685</v>
      </c>
      <c r="E20" s="109">
        <f t="shared" si="6"/>
        <v>5683967</v>
      </c>
      <c r="F20" s="109">
        <f t="shared" si="6"/>
        <v>5700907</v>
      </c>
      <c r="G20" s="50"/>
    </row>
    <row r="21" spans="1:7" x14ac:dyDescent="0.25">
      <c r="A21" s="11" t="s">
        <v>24</v>
      </c>
      <c r="B21" s="109">
        <f>+B22</f>
        <v>4190053.0838144533</v>
      </c>
      <c r="C21" s="109">
        <f>+C22</f>
        <v>4655782.6900000004</v>
      </c>
      <c r="D21" s="109">
        <f t="shared" ref="D21:F21" si="7">+D22</f>
        <v>5118795</v>
      </c>
      <c r="E21" s="109">
        <f t="shared" si="7"/>
        <v>5135652</v>
      </c>
      <c r="F21" s="109">
        <f t="shared" si="7"/>
        <v>5152592</v>
      </c>
    </row>
    <row r="22" spans="1:7" x14ac:dyDescent="0.25">
      <c r="A22" s="29" t="s">
        <v>25</v>
      </c>
      <c r="B22" s="110">
        <f>31569954.96/7.5345</f>
        <v>4190053.0838144533</v>
      </c>
      <c r="C22" s="110">
        <v>4655782.6900000004</v>
      </c>
      <c r="D22" s="59">
        <v>5118795</v>
      </c>
      <c r="E22" s="59">
        <v>5135652</v>
      </c>
      <c r="F22" s="59">
        <v>5152592</v>
      </c>
    </row>
    <row r="23" spans="1:7" x14ac:dyDescent="0.25">
      <c r="A23" s="11" t="s">
        <v>30</v>
      </c>
      <c r="B23" s="109">
        <f>+B24</f>
        <v>255382.01075054746</v>
      </c>
      <c r="C23" s="109">
        <f>+C24</f>
        <v>175539.62</v>
      </c>
      <c r="D23" s="109">
        <f t="shared" ref="D23:F23" si="8">+D24</f>
        <v>401670</v>
      </c>
      <c r="E23" s="109">
        <f t="shared" si="8"/>
        <v>345420</v>
      </c>
      <c r="F23" s="109">
        <f t="shared" si="8"/>
        <v>345420</v>
      </c>
    </row>
    <row r="24" spans="1:7" x14ac:dyDescent="0.25">
      <c r="A24" s="31" t="s">
        <v>31</v>
      </c>
      <c r="B24" s="110">
        <f>1924175.76/7.5345</f>
        <v>255382.01075054746</v>
      </c>
      <c r="C24" s="110">
        <v>175539.62</v>
      </c>
      <c r="D24" s="59">
        <v>401670</v>
      </c>
      <c r="E24" s="59">
        <v>345420</v>
      </c>
      <c r="F24" s="59">
        <v>345420</v>
      </c>
    </row>
    <row r="25" spans="1:7" x14ac:dyDescent="0.25">
      <c r="A25" s="11" t="s">
        <v>68</v>
      </c>
      <c r="B25" s="109">
        <f>+B26</f>
        <v>25076.221381644435</v>
      </c>
      <c r="C25" s="109">
        <f>+C26</f>
        <v>33180.699999999997</v>
      </c>
      <c r="D25" s="109">
        <f t="shared" ref="D25:F25" si="9">+D26</f>
        <v>36325</v>
      </c>
      <c r="E25" s="109">
        <f t="shared" si="9"/>
        <v>34000</v>
      </c>
      <c r="F25" s="109">
        <f t="shared" si="9"/>
        <v>34000</v>
      </c>
    </row>
    <row r="26" spans="1:7" x14ac:dyDescent="0.25">
      <c r="A26" s="31" t="s">
        <v>71</v>
      </c>
      <c r="B26" s="114">
        <f>188936.79/7.5345</f>
        <v>25076.221381644435</v>
      </c>
      <c r="C26" s="114">
        <v>33180.699999999997</v>
      </c>
      <c r="D26" s="114">
        <v>36325</v>
      </c>
      <c r="E26" s="114">
        <v>34000</v>
      </c>
      <c r="F26" s="114">
        <v>34000</v>
      </c>
    </row>
    <row r="27" spans="1:7" x14ac:dyDescent="0.25">
      <c r="A27" s="11" t="s">
        <v>69</v>
      </c>
      <c r="B27" s="115">
        <f>+B28+B29+B30</f>
        <v>343498.79089521529</v>
      </c>
      <c r="C27" s="115">
        <f>+C28+C29+C30</f>
        <v>3837690.75</v>
      </c>
      <c r="D27" s="115">
        <f t="shared" ref="D27:F27" si="10">+D28+D29+D30</f>
        <v>158895</v>
      </c>
      <c r="E27" s="115">
        <f t="shared" si="10"/>
        <v>158895</v>
      </c>
      <c r="F27" s="115">
        <f t="shared" si="10"/>
        <v>158895</v>
      </c>
    </row>
    <row r="28" spans="1:7" x14ac:dyDescent="0.25">
      <c r="A28" s="31" t="s">
        <v>72</v>
      </c>
      <c r="B28" s="114">
        <f>2396.32/7.5345</f>
        <v>318.04632026013672</v>
      </c>
      <c r="C28" s="114">
        <v>0</v>
      </c>
      <c r="D28" s="114">
        <v>0</v>
      </c>
      <c r="E28" s="114">
        <v>0</v>
      </c>
      <c r="F28" s="114">
        <v>0</v>
      </c>
    </row>
    <row r="29" spans="1:7" x14ac:dyDescent="0.25">
      <c r="A29" s="31" t="s">
        <v>73</v>
      </c>
      <c r="B29" s="114">
        <f>2368747.07/7.5345</f>
        <v>314386.76355431677</v>
      </c>
      <c r="C29" s="114">
        <v>217078.9</v>
      </c>
      <c r="D29" s="114">
        <v>158895</v>
      </c>
      <c r="E29" s="114">
        <v>158895</v>
      </c>
      <c r="F29" s="114">
        <v>158895</v>
      </c>
    </row>
    <row r="30" spans="1:7" x14ac:dyDescent="0.25">
      <c r="A30" s="31" t="s">
        <v>74</v>
      </c>
      <c r="B30" s="114">
        <f>216948.25/7.5345</f>
        <v>28793.981020638395</v>
      </c>
      <c r="C30" s="114">
        <v>3620611.85</v>
      </c>
      <c r="D30" s="114">
        <v>0</v>
      </c>
      <c r="E30" s="114">
        <v>0</v>
      </c>
      <c r="F30" s="114">
        <v>0</v>
      </c>
    </row>
    <row r="31" spans="1:7" x14ac:dyDescent="0.25">
      <c r="A31" s="11" t="s">
        <v>70</v>
      </c>
      <c r="B31" s="115">
        <f>+B32</f>
        <v>1911.2084411706151</v>
      </c>
      <c r="C31" s="115">
        <f>+C32</f>
        <v>19204</v>
      </c>
      <c r="D31" s="115">
        <f t="shared" ref="D31:F31" si="11">+D32</f>
        <v>10000</v>
      </c>
      <c r="E31" s="115">
        <f t="shared" si="11"/>
        <v>10000</v>
      </c>
      <c r="F31" s="115">
        <f t="shared" si="11"/>
        <v>10000</v>
      </c>
    </row>
    <row r="32" spans="1:7" x14ac:dyDescent="0.25">
      <c r="A32" s="31" t="s">
        <v>75</v>
      </c>
      <c r="B32" s="114">
        <f>14400/7.5345</f>
        <v>1911.2084411706151</v>
      </c>
      <c r="C32" s="114">
        <v>19204</v>
      </c>
      <c r="D32" s="114">
        <v>10000</v>
      </c>
      <c r="E32" s="114">
        <v>10000</v>
      </c>
      <c r="F32" s="114">
        <v>10000</v>
      </c>
    </row>
  </sheetData>
  <mergeCells count="1">
    <mergeCell ref="A2:F2"/>
  </mergeCells>
  <pageMargins left="0.7" right="0.7" top="0.75" bottom="0.75" header="0.3" footer="0.3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workbookViewId="0">
      <selection activeCell="C20" sqref="C20"/>
    </sheetView>
  </sheetViews>
  <sheetFormatPr defaultRowHeight="15" x14ac:dyDescent="0.25"/>
  <cols>
    <col min="1" max="1" width="44.7109375" customWidth="1"/>
    <col min="2" max="6" width="19.42578125" customWidth="1"/>
    <col min="7" max="8" width="25.28515625" customWidth="1"/>
  </cols>
  <sheetData>
    <row r="1" spans="1:8" ht="18" x14ac:dyDescent="0.25">
      <c r="A1" s="23"/>
      <c r="B1" s="23"/>
      <c r="C1" s="23"/>
      <c r="D1" s="23"/>
      <c r="E1" s="23"/>
      <c r="F1" s="23"/>
      <c r="G1" s="23"/>
      <c r="H1" s="23"/>
    </row>
    <row r="2" spans="1:8" ht="15.75" customHeight="1" x14ac:dyDescent="0.25">
      <c r="A2" s="67" t="s">
        <v>53</v>
      </c>
      <c r="B2" s="67"/>
      <c r="C2" s="67"/>
      <c r="D2" s="67"/>
      <c r="E2" s="67"/>
      <c r="F2" s="67"/>
      <c r="G2" s="35"/>
      <c r="H2" s="35"/>
    </row>
    <row r="3" spans="1:8" ht="18" x14ac:dyDescent="0.25">
      <c r="A3" s="23"/>
      <c r="B3" s="23"/>
      <c r="C3" s="23"/>
      <c r="D3" s="23"/>
      <c r="E3" s="23"/>
      <c r="F3" s="23"/>
      <c r="G3" s="6"/>
      <c r="H3" s="6"/>
    </row>
    <row r="4" spans="1:8" ht="25.5" customHeight="1" x14ac:dyDescent="0.25">
      <c r="A4" s="41" t="s">
        <v>11</v>
      </c>
      <c r="B4" s="39" t="s">
        <v>44</v>
      </c>
      <c r="C4" s="39" t="s">
        <v>45</v>
      </c>
      <c r="D4" s="40" t="s">
        <v>46</v>
      </c>
      <c r="E4" s="40" t="s">
        <v>47</v>
      </c>
      <c r="F4" s="40" t="s">
        <v>48</v>
      </c>
    </row>
    <row r="5" spans="1:8" s="44" customFormat="1" ht="11.25" x14ac:dyDescent="0.2">
      <c r="A5" s="48">
        <v>1</v>
      </c>
      <c r="B5" s="46">
        <v>2</v>
      </c>
      <c r="C5" s="46">
        <v>3</v>
      </c>
      <c r="D5" s="47">
        <v>4</v>
      </c>
      <c r="E5" s="47">
        <v>5</v>
      </c>
      <c r="F5" s="47">
        <v>6</v>
      </c>
    </row>
    <row r="6" spans="1:8" x14ac:dyDescent="0.25">
      <c r="A6" s="11" t="s">
        <v>52</v>
      </c>
      <c r="B6" s="109">
        <f>+' Račun prihoda i rashoda-ekonom'!D21</f>
        <v>4815921.3152830312</v>
      </c>
      <c r="C6" s="109">
        <f>+' Račun prihoda i rashoda-ekonom'!E21</f>
        <v>8721397.7599999998</v>
      </c>
      <c r="D6" s="59">
        <f>+D7</f>
        <v>5725685</v>
      </c>
      <c r="E6" s="59">
        <f t="shared" ref="E6:F6" si="0">+E7</f>
        <v>5683967</v>
      </c>
      <c r="F6" s="59">
        <f t="shared" si="0"/>
        <v>5700907</v>
      </c>
    </row>
    <row r="7" spans="1:8" x14ac:dyDescent="0.25">
      <c r="A7" s="53" t="s">
        <v>76</v>
      </c>
      <c r="B7" s="109">
        <f>+B6</f>
        <v>4815921.3152830312</v>
      </c>
      <c r="C7" s="109">
        <f>+C6</f>
        <v>8721397.7599999998</v>
      </c>
      <c r="D7" s="109">
        <f>+D8</f>
        <v>5725685</v>
      </c>
      <c r="E7" s="109">
        <f t="shared" ref="E7:F7" si="1">+E8</f>
        <v>5683967</v>
      </c>
      <c r="F7" s="109">
        <f t="shared" si="1"/>
        <v>5700907</v>
      </c>
    </row>
    <row r="8" spans="1:8" x14ac:dyDescent="0.25">
      <c r="A8" s="55" t="s">
        <v>77</v>
      </c>
      <c r="B8" s="116">
        <f>+B7</f>
        <v>4815921.3152830312</v>
      </c>
      <c r="C8" s="116">
        <f>+SAŽETAK!G14</f>
        <v>8721397.7599999998</v>
      </c>
      <c r="D8" s="117">
        <f>+SAŽETAK!H14</f>
        <v>5725685</v>
      </c>
      <c r="E8" s="117">
        <f>+SAŽETAK!I14</f>
        <v>5683967</v>
      </c>
      <c r="F8" s="117">
        <f>+SAŽETAK!J14</f>
        <v>5700907</v>
      </c>
    </row>
  </sheetData>
  <mergeCells count="1">
    <mergeCell ref="A2:F2"/>
  </mergeCells>
  <pageMargins left="0.7" right="0.7" top="0.75" bottom="0.75" header="0.3" footer="0.3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workbookViewId="0">
      <selection activeCell="A4" sqref="A4:H4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44.7109375" customWidth="1"/>
    <col min="4" max="8" width="19.42578125" customWidth="1"/>
    <col min="9" max="10" width="25.28515625" customWidth="1"/>
  </cols>
  <sheetData>
    <row r="1" spans="1:10" ht="18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0" ht="15.75" x14ac:dyDescent="0.25">
      <c r="A2" s="67" t="s">
        <v>16</v>
      </c>
      <c r="B2" s="67"/>
      <c r="C2" s="67"/>
      <c r="D2" s="67"/>
      <c r="E2" s="67"/>
      <c r="F2" s="67"/>
      <c r="G2" s="67"/>
      <c r="H2" s="67"/>
      <c r="I2" s="34"/>
      <c r="J2" s="34"/>
    </row>
    <row r="3" spans="1:10" ht="18" x14ac:dyDescent="0.25">
      <c r="A3" s="23"/>
      <c r="B3" s="23"/>
      <c r="C3" s="23"/>
      <c r="D3" s="23"/>
      <c r="E3" s="23"/>
      <c r="F3" s="23"/>
      <c r="G3" s="23"/>
      <c r="H3" s="23"/>
      <c r="I3" s="6"/>
      <c r="J3" s="6"/>
    </row>
    <row r="4" spans="1:10" ht="15.75" x14ac:dyDescent="0.25">
      <c r="A4" s="67" t="s">
        <v>12</v>
      </c>
      <c r="B4" s="67"/>
      <c r="C4" s="67"/>
      <c r="D4" s="67"/>
      <c r="E4" s="67"/>
      <c r="F4" s="67"/>
      <c r="G4" s="67"/>
      <c r="H4" s="67"/>
      <c r="I4" s="33"/>
      <c r="J4" s="33"/>
    </row>
    <row r="5" spans="1:10" ht="18" x14ac:dyDescent="0.25">
      <c r="A5" s="23"/>
      <c r="B5" s="23"/>
      <c r="C5" s="23"/>
      <c r="D5" s="23"/>
      <c r="E5" s="23"/>
      <c r="F5" s="23"/>
      <c r="G5" s="23"/>
      <c r="H5" s="23"/>
      <c r="I5" s="6"/>
      <c r="J5" s="6"/>
    </row>
    <row r="6" spans="1:10" ht="15.75" x14ac:dyDescent="0.25">
      <c r="A6" s="67" t="s">
        <v>54</v>
      </c>
      <c r="B6" s="67"/>
      <c r="C6" s="67"/>
      <c r="D6" s="67"/>
      <c r="E6" s="67"/>
      <c r="F6" s="67"/>
      <c r="G6" s="67"/>
      <c r="H6" s="67"/>
      <c r="I6" s="35"/>
      <c r="J6" s="35"/>
    </row>
    <row r="7" spans="1:10" ht="18" x14ac:dyDescent="0.25">
      <c r="A7" s="23"/>
      <c r="B7" s="23"/>
      <c r="C7" s="23"/>
      <c r="D7" s="23"/>
      <c r="E7" s="23"/>
      <c r="F7" s="23"/>
      <c r="G7" s="23"/>
      <c r="H7" s="23"/>
      <c r="I7" s="6"/>
      <c r="J7" s="6"/>
    </row>
    <row r="8" spans="1:10" ht="25.5" x14ac:dyDescent="0.25">
      <c r="A8" s="84" t="s">
        <v>11</v>
      </c>
      <c r="B8" s="85"/>
      <c r="C8" s="86"/>
      <c r="D8" s="39" t="s">
        <v>44</v>
      </c>
      <c r="E8" s="39" t="s">
        <v>45</v>
      </c>
      <c r="F8" s="40" t="s">
        <v>46</v>
      </c>
      <c r="G8" s="40" t="s">
        <v>47</v>
      </c>
      <c r="H8" s="40" t="s">
        <v>48</v>
      </c>
    </row>
    <row r="9" spans="1:10" s="44" customFormat="1" ht="11.25" x14ac:dyDescent="0.2">
      <c r="A9" s="87">
        <v>1</v>
      </c>
      <c r="B9" s="88"/>
      <c r="C9" s="89"/>
      <c r="D9" s="46">
        <v>2</v>
      </c>
      <c r="E9" s="46">
        <v>3</v>
      </c>
      <c r="F9" s="47">
        <v>4</v>
      </c>
      <c r="G9" s="47">
        <v>5</v>
      </c>
      <c r="H9" s="47">
        <v>6</v>
      </c>
    </row>
    <row r="10" spans="1:10" x14ac:dyDescent="0.25">
      <c r="A10" s="11">
        <v>8</v>
      </c>
      <c r="B10" s="11"/>
      <c r="C10" s="11" t="s">
        <v>13</v>
      </c>
      <c r="D10" s="11"/>
      <c r="E10" s="11"/>
      <c r="F10" s="10"/>
      <c r="G10" s="10"/>
      <c r="H10" s="10"/>
    </row>
    <row r="11" spans="1:10" x14ac:dyDescent="0.25">
      <c r="A11" s="11"/>
      <c r="B11" s="15">
        <v>84</v>
      </c>
      <c r="C11" s="15" t="s">
        <v>18</v>
      </c>
      <c r="D11" s="11"/>
      <c r="E11" s="11"/>
      <c r="F11" s="10"/>
      <c r="G11" s="10"/>
      <c r="H11" s="10"/>
    </row>
    <row r="12" spans="1:10" x14ac:dyDescent="0.25">
      <c r="A12" s="12" t="s">
        <v>21</v>
      </c>
      <c r="B12" s="12"/>
      <c r="C12" s="17"/>
      <c r="D12" s="15"/>
      <c r="E12" s="15"/>
      <c r="F12" s="10"/>
      <c r="G12" s="10"/>
      <c r="H12" s="10"/>
    </row>
    <row r="13" spans="1:10" x14ac:dyDescent="0.25">
      <c r="A13" s="13">
        <v>5</v>
      </c>
      <c r="B13" s="14"/>
      <c r="C13" s="24" t="s">
        <v>14</v>
      </c>
      <c r="D13" s="15"/>
      <c r="E13" s="15"/>
      <c r="F13" s="10"/>
      <c r="G13" s="10"/>
      <c r="H13" s="10"/>
    </row>
    <row r="14" spans="1:10" ht="25.5" x14ac:dyDescent="0.25">
      <c r="A14" s="15"/>
      <c r="B14" s="15">
        <v>54</v>
      </c>
      <c r="C14" s="25" t="s">
        <v>19</v>
      </c>
      <c r="D14" s="15"/>
      <c r="E14" s="15"/>
      <c r="F14" s="10"/>
      <c r="G14" s="10"/>
      <c r="H14" s="10"/>
    </row>
    <row r="15" spans="1:10" x14ac:dyDescent="0.25">
      <c r="A15" s="16" t="s">
        <v>21</v>
      </c>
      <c r="B15" s="14"/>
      <c r="C15" s="24"/>
      <c r="D15" s="15"/>
      <c r="E15" s="15"/>
      <c r="F15" s="10"/>
      <c r="G15" s="10"/>
      <c r="H15" s="10"/>
    </row>
  </sheetData>
  <mergeCells count="5">
    <mergeCell ref="A2:H2"/>
    <mergeCell ref="A4:H4"/>
    <mergeCell ref="A6:H6"/>
    <mergeCell ref="A8:C8"/>
    <mergeCell ref="A9:C9"/>
  </mergeCells>
  <pageMargins left="0.7" right="0.7" top="0.75" bottom="0.75" header="0.3" footer="0.3"/>
  <pageSetup paperSize="9"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workbookViewId="0">
      <selection activeCell="A6" sqref="A6"/>
    </sheetView>
  </sheetViews>
  <sheetFormatPr defaultRowHeight="15" x14ac:dyDescent="0.25"/>
  <cols>
    <col min="1" max="1" width="44.7109375" customWidth="1"/>
    <col min="2" max="6" width="19.42578125" customWidth="1"/>
    <col min="7" max="8" width="25.28515625" customWidth="1"/>
  </cols>
  <sheetData>
    <row r="1" spans="1:8" ht="18" x14ac:dyDescent="0.25">
      <c r="A1" s="23"/>
      <c r="B1" s="23"/>
      <c r="C1" s="23"/>
      <c r="D1" s="23"/>
      <c r="E1" s="23"/>
      <c r="F1" s="23"/>
      <c r="G1" s="23"/>
      <c r="H1" s="23"/>
    </row>
    <row r="2" spans="1:8" ht="15.75" customHeight="1" x14ac:dyDescent="0.25">
      <c r="A2" s="67" t="s">
        <v>55</v>
      </c>
      <c r="B2" s="67"/>
      <c r="C2" s="67"/>
      <c r="D2" s="67"/>
      <c r="E2" s="67"/>
      <c r="F2" s="67"/>
      <c r="G2" s="35"/>
      <c r="H2" s="35"/>
    </row>
    <row r="3" spans="1:8" ht="18" x14ac:dyDescent="0.25">
      <c r="A3" s="23"/>
      <c r="B3" s="23"/>
      <c r="C3" s="23"/>
      <c r="D3" s="23"/>
      <c r="E3" s="23"/>
      <c r="F3" s="23"/>
      <c r="G3" s="6"/>
      <c r="H3" s="6"/>
    </row>
    <row r="4" spans="1:8" ht="25.5" customHeight="1" x14ac:dyDescent="0.25">
      <c r="A4" s="41" t="s">
        <v>11</v>
      </c>
      <c r="B4" s="39" t="s">
        <v>44</v>
      </c>
      <c r="C4" s="39" t="s">
        <v>45</v>
      </c>
      <c r="D4" s="40" t="s">
        <v>46</v>
      </c>
      <c r="E4" s="40" t="s">
        <v>47</v>
      </c>
      <c r="F4" s="40" t="s">
        <v>48</v>
      </c>
    </row>
    <row r="5" spans="1:8" s="44" customFormat="1" ht="11.25" x14ac:dyDescent="0.2">
      <c r="A5" s="48">
        <v>1</v>
      </c>
      <c r="B5" s="46">
        <v>2</v>
      </c>
      <c r="C5" s="46">
        <v>3</v>
      </c>
      <c r="D5" s="47">
        <v>4</v>
      </c>
      <c r="E5" s="47">
        <v>5</v>
      </c>
      <c r="F5" s="47">
        <v>6</v>
      </c>
    </row>
    <row r="6" spans="1:8" x14ac:dyDescent="0.25">
      <c r="A6" s="11" t="s">
        <v>56</v>
      </c>
      <c r="B6" s="11"/>
      <c r="C6" s="11"/>
      <c r="D6" s="10"/>
      <c r="E6" s="10"/>
      <c r="F6" s="10"/>
    </row>
    <row r="7" spans="1:8" x14ac:dyDescent="0.25">
      <c r="A7" s="11" t="s">
        <v>24</v>
      </c>
      <c r="B7" s="11"/>
      <c r="C7" s="11"/>
      <c r="D7" s="10"/>
      <c r="E7" s="10"/>
      <c r="F7" s="10"/>
    </row>
    <row r="8" spans="1:8" x14ac:dyDescent="0.25">
      <c r="A8" s="29" t="s">
        <v>25</v>
      </c>
      <c r="B8" s="15"/>
      <c r="C8" s="15"/>
      <c r="D8" s="10"/>
      <c r="E8" s="10"/>
      <c r="F8" s="10"/>
    </row>
    <row r="9" spans="1:8" x14ac:dyDescent="0.25">
      <c r="A9" s="30" t="s">
        <v>26</v>
      </c>
      <c r="B9" s="15"/>
      <c r="C9" s="15"/>
      <c r="D9" s="10"/>
      <c r="E9" s="10"/>
      <c r="F9" s="10"/>
    </row>
    <row r="10" spans="1:8" x14ac:dyDescent="0.25">
      <c r="A10" s="30" t="s">
        <v>27</v>
      </c>
      <c r="B10" s="15"/>
      <c r="C10" s="15"/>
      <c r="D10" s="10"/>
      <c r="E10" s="10"/>
      <c r="F10" s="10"/>
    </row>
    <row r="11" spans="1:8" x14ac:dyDescent="0.25">
      <c r="A11" s="11" t="s">
        <v>28</v>
      </c>
      <c r="B11" s="15"/>
      <c r="C11" s="15"/>
      <c r="D11" s="10"/>
      <c r="E11" s="10"/>
      <c r="F11" s="10"/>
    </row>
    <row r="12" spans="1:8" x14ac:dyDescent="0.25">
      <c r="A12" s="31" t="s">
        <v>29</v>
      </c>
      <c r="B12" s="45"/>
      <c r="C12" s="45"/>
      <c r="D12" s="45"/>
      <c r="E12" s="45"/>
      <c r="F12" s="45"/>
    </row>
    <row r="13" spans="1:8" x14ac:dyDescent="0.25">
      <c r="A13" s="11" t="s">
        <v>30</v>
      </c>
      <c r="B13" s="45"/>
      <c r="C13" s="45"/>
      <c r="D13" s="45"/>
      <c r="E13" s="45"/>
      <c r="F13" s="45"/>
    </row>
    <row r="14" spans="1:8" x14ac:dyDescent="0.25">
      <c r="A14" s="31" t="s">
        <v>31</v>
      </c>
      <c r="B14" s="45"/>
      <c r="C14" s="45"/>
      <c r="D14" s="45"/>
      <c r="E14" s="45"/>
      <c r="F14" s="45"/>
    </row>
    <row r="15" spans="1:8" x14ac:dyDescent="0.25">
      <c r="A15" s="15" t="s">
        <v>21</v>
      </c>
      <c r="B15" s="45"/>
      <c r="C15" s="45"/>
      <c r="D15" s="45"/>
      <c r="E15" s="45"/>
      <c r="F15" s="45"/>
    </row>
    <row r="16" spans="1:8" x14ac:dyDescent="0.25">
      <c r="A16" s="31"/>
      <c r="B16" s="45"/>
      <c r="C16" s="45"/>
      <c r="D16" s="45"/>
      <c r="E16" s="45"/>
      <c r="F16" s="45"/>
    </row>
    <row r="17" spans="1:6" x14ac:dyDescent="0.25">
      <c r="A17" s="11" t="s">
        <v>57</v>
      </c>
      <c r="B17" s="45"/>
      <c r="C17" s="45"/>
      <c r="D17" s="45"/>
      <c r="E17" s="45"/>
      <c r="F17" s="45"/>
    </row>
    <row r="18" spans="1:6" x14ac:dyDescent="0.25">
      <c r="A18" s="11" t="s">
        <v>24</v>
      </c>
      <c r="B18" s="45"/>
      <c r="C18" s="45"/>
      <c r="D18" s="45"/>
      <c r="E18" s="45"/>
      <c r="F18" s="45"/>
    </row>
    <row r="19" spans="1:6" x14ac:dyDescent="0.25">
      <c r="A19" s="29" t="s">
        <v>25</v>
      </c>
      <c r="B19" s="45"/>
      <c r="C19" s="45"/>
      <c r="D19" s="45"/>
      <c r="E19" s="45"/>
      <c r="F19" s="45"/>
    </row>
    <row r="20" spans="1:6" x14ac:dyDescent="0.25">
      <c r="A20" s="30" t="s">
        <v>26</v>
      </c>
      <c r="B20" s="45"/>
      <c r="C20" s="45"/>
      <c r="D20" s="45"/>
      <c r="E20" s="45"/>
      <c r="F20" s="45"/>
    </row>
    <row r="21" spans="1:6" x14ac:dyDescent="0.25">
      <c r="A21" s="30" t="s">
        <v>27</v>
      </c>
      <c r="B21" s="45"/>
      <c r="C21" s="45"/>
      <c r="D21" s="45"/>
      <c r="E21" s="45"/>
      <c r="F21" s="45"/>
    </row>
    <row r="22" spans="1:6" x14ac:dyDescent="0.25">
      <c r="A22" s="11" t="s">
        <v>28</v>
      </c>
      <c r="B22" s="45"/>
      <c r="C22" s="45"/>
      <c r="D22" s="45"/>
      <c r="E22" s="45"/>
      <c r="F22" s="45"/>
    </row>
    <row r="23" spans="1:6" x14ac:dyDescent="0.25">
      <c r="A23" s="31" t="s">
        <v>29</v>
      </c>
      <c r="B23" s="45"/>
      <c r="C23" s="45"/>
      <c r="D23" s="45"/>
      <c r="E23" s="45"/>
      <c r="F23" s="45"/>
    </row>
    <row r="24" spans="1:6" x14ac:dyDescent="0.25">
      <c r="A24" s="11" t="s">
        <v>30</v>
      </c>
      <c r="B24" s="45"/>
      <c r="C24" s="45"/>
      <c r="D24" s="45"/>
      <c r="E24" s="45"/>
      <c r="F24" s="45"/>
    </row>
    <row r="25" spans="1:6" x14ac:dyDescent="0.25">
      <c r="A25" s="31" t="s">
        <v>31</v>
      </c>
      <c r="B25" s="45"/>
      <c r="C25" s="45"/>
      <c r="D25" s="45"/>
      <c r="E25" s="45"/>
      <c r="F25" s="45"/>
    </row>
    <row r="26" spans="1:6" x14ac:dyDescent="0.25">
      <c r="A26" s="15" t="s">
        <v>21</v>
      </c>
      <c r="B26" s="45"/>
      <c r="C26" s="45"/>
      <c r="D26" s="45"/>
      <c r="E26" s="45"/>
      <c r="F26" s="45"/>
    </row>
  </sheetData>
  <mergeCells count="1">
    <mergeCell ref="A2:F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tabSelected="1" zoomScaleNormal="100" workbookViewId="0">
      <selection activeCell="C10" sqref="C10"/>
    </sheetView>
  </sheetViews>
  <sheetFormatPr defaultRowHeight="15" x14ac:dyDescent="0.25"/>
  <cols>
    <col min="1" max="2" width="36.7109375" customWidth="1"/>
    <col min="3" max="7" width="19.42578125" customWidth="1"/>
    <col min="8" max="9" width="24.28515625" customWidth="1"/>
  </cols>
  <sheetData>
    <row r="1" spans="1:9" ht="18" x14ac:dyDescent="0.25">
      <c r="A1" s="5"/>
      <c r="B1" s="5"/>
      <c r="C1" s="23"/>
      <c r="D1" s="23"/>
      <c r="E1" s="5"/>
      <c r="F1" s="5"/>
      <c r="G1" s="5"/>
      <c r="H1" s="6"/>
      <c r="I1" s="6"/>
    </row>
    <row r="2" spans="1:9" ht="18" customHeight="1" x14ac:dyDescent="0.25">
      <c r="A2" s="67" t="s">
        <v>15</v>
      </c>
      <c r="B2" s="67"/>
      <c r="C2" s="67"/>
      <c r="D2" s="67"/>
      <c r="E2" s="67"/>
      <c r="F2" s="67"/>
      <c r="G2" s="67"/>
      <c r="H2" s="33"/>
      <c r="I2" s="33"/>
    </row>
    <row r="3" spans="1:9" ht="18" x14ac:dyDescent="0.25">
      <c r="A3" s="5"/>
      <c r="B3" s="5"/>
      <c r="C3" s="23"/>
      <c r="D3" s="23"/>
      <c r="E3" s="5"/>
      <c r="F3" s="5"/>
      <c r="G3" s="5"/>
      <c r="H3" s="6"/>
      <c r="I3" s="6"/>
    </row>
    <row r="4" spans="1:9" ht="25.5" x14ac:dyDescent="0.25">
      <c r="A4" s="85" t="s">
        <v>11</v>
      </c>
      <c r="B4" s="86"/>
      <c r="C4" s="39" t="s">
        <v>44</v>
      </c>
      <c r="D4" s="39" t="s">
        <v>45</v>
      </c>
      <c r="E4" s="40" t="s">
        <v>46</v>
      </c>
      <c r="F4" s="40" t="s">
        <v>47</v>
      </c>
      <c r="G4" s="40" t="s">
        <v>48</v>
      </c>
    </row>
    <row r="5" spans="1:9" ht="25.5" customHeight="1" x14ac:dyDescent="0.25">
      <c r="A5" s="62" t="s">
        <v>78</v>
      </c>
      <c r="B5" s="58" t="s">
        <v>79</v>
      </c>
      <c r="C5" s="66"/>
      <c r="D5" s="66"/>
      <c r="E5" s="59"/>
      <c r="F5" s="59"/>
      <c r="G5" s="59"/>
    </row>
    <row r="6" spans="1:9" ht="25.5" customHeight="1" x14ac:dyDescent="0.25">
      <c r="A6" s="62" t="s">
        <v>80</v>
      </c>
      <c r="B6" s="58" t="s">
        <v>81</v>
      </c>
      <c r="C6" s="66"/>
      <c r="D6" s="66"/>
      <c r="E6" s="59"/>
      <c r="F6" s="59"/>
      <c r="G6" s="59"/>
    </row>
    <row r="7" spans="1:9" ht="25.5" customHeight="1" x14ac:dyDescent="0.25">
      <c r="A7" s="62" t="s">
        <v>82</v>
      </c>
      <c r="B7" s="58" t="s">
        <v>83</v>
      </c>
      <c r="C7" s="90">
        <f>+C8</f>
        <v>4815921.3233459424</v>
      </c>
      <c r="D7" s="90">
        <f>+D8</f>
        <v>8721397.7599999998</v>
      </c>
      <c r="E7" s="90">
        <f t="shared" ref="E7:G7" si="0">+E8</f>
        <v>5725685</v>
      </c>
      <c r="F7" s="90">
        <f t="shared" si="0"/>
        <v>5683967</v>
      </c>
      <c r="G7" s="90">
        <f t="shared" si="0"/>
        <v>5700907</v>
      </c>
    </row>
    <row r="8" spans="1:9" ht="25.5" customHeight="1" x14ac:dyDescent="0.25">
      <c r="A8" s="62" t="s">
        <v>84</v>
      </c>
      <c r="B8" s="58" t="s">
        <v>85</v>
      </c>
      <c r="C8" s="90">
        <f>+C9+C18+C27+C33+C59</f>
        <v>4815921.3233459424</v>
      </c>
      <c r="D8" s="90">
        <f>+D9+D18+D27+D33+D59</f>
        <v>8721397.7599999998</v>
      </c>
      <c r="E8" s="90">
        <f t="shared" ref="E8:G8" si="1">+E9+E18+E27+E33+E59</f>
        <v>5725685</v>
      </c>
      <c r="F8" s="90">
        <f t="shared" si="1"/>
        <v>5683967</v>
      </c>
      <c r="G8" s="90">
        <f t="shared" si="1"/>
        <v>5700907</v>
      </c>
      <c r="H8" s="60"/>
    </row>
    <row r="9" spans="1:9" ht="25.5" customHeight="1" x14ac:dyDescent="0.25">
      <c r="A9" s="62" t="s">
        <v>86</v>
      </c>
      <c r="B9" s="58" t="s">
        <v>87</v>
      </c>
      <c r="C9" s="90">
        <f>+C10</f>
        <v>447086.90158603748</v>
      </c>
      <c r="D9" s="90">
        <f>+D10</f>
        <v>551712.14</v>
      </c>
      <c r="E9" s="90">
        <f t="shared" ref="E9:G9" si="2">+E10</f>
        <v>789000</v>
      </c>
      <c r="F9" s="90">
        <f t="shared" si="2"/>
        <v>789000</v>
      </c>
      <c r="G9" s="90">
        <f t="shared" si="2"/>
        <v>789000</v>
      </c>
    </row>
    <row r="10" spans="1:9" ht="25.5" customHeight="1" x14ac:dyDescent="0.25">
      <c r="A10" s="63" t="s">
        <v>88</v>
      </c>
      <c r="B10" s="57" t="s">
        <v>89</v>
      </c>
      <c r="C10" s="65">
        <f>+C11+C13</f>
        <v>447086.90158603748</v>
      </c>
      <c r="D10" s="65">
        <f>+D11+D13</f>
        <v>551712.14</v>
      </c>
      <c r="E10" s="65">
        <f t="shared" ref="E10:G10" si="3">+E11+E13</f>
        <v>789000</v>
      </c>
      <c r="F10" s="65">
        <f t="shared" si="3"/>
        <v>789000</v>
      </c>
      <c r="G10" s="65">
        <f t="shared" si="3"/>
        <v>789000</v>
      </c>
    </row>
    <row r="11" spans="1:9" ht="25.5" customHeight="1" x14ac:dyDescent="0.25">
      <c r="A11" s="49" t="s">
        <v>90</v>
      </c>
      <c r="B11" s="57" t="s">
        <v>7</v>
      </c>
      <c r="C11" s="65">
        <f>+C12</f>
        <v>163399.97610989449</v>
      </c>
      <c r="D11" s="65">
        <f>+D12</f>
        <v>180287.35999999999</v>
      </c>
      <c r="E11" s="65">
        <f t="shared" ref="E11:G11" si="4">+E12</f>
        <v>300550</v>
      </c>
      <c r="F11" s="65">
        <f t="shared" si="4"/>
        <v>300550</v>
      </c>
      <c r="G11" s="65">
        <f t="shared" si="4"/>
        <v>300550</v>
      </c>
    </row>
    <row r="12" spans="1:9" ht="25.5" customHeight="1" x14ac:dyDescent="0.25">
      <c r="A12" s="49" t="s">
        <v>91</v>
      </c>
      <c r="B12" s="57" t="s">
        <v>17</v>
      </c>
      <c r="C12" s="65">
        <f>1231137.12/7.5345</f>
        <v>163399.97610989449</v>
      </c>
      <c r="D12" s="65">
        <v>180287.35999999999</v>
      </c>
      <c r="E12" s="65">
        <v>300550</v>
      </c>
      <c r="F12" s="65">
        <v>300550</v>
      </c>
      <c r="G12" s="91">
        <v>300550</v>
      </c>
    </row>
    <row r="13" spans="1:9" ht="25.5" customHeight="1" x14ac:dyDescent="0.25">
      <c r="A13" s="49" t="s">
        <v>92</v>
      </c>
      <c r="B13" s="56" t="s">
        <v>9</v>
      </c>
      <c r="C13" s="65">
        <f>SUM(C14:C17)</f>
        <v>283686.92547614302</v>
      </c>
      <c r="D13" s="65">
        <f>SUM(D14:D17)</f>
        <v>371424.78</v>
      </c>
      <c r="E13" s="65">
        <f t="shared" ref="E13:G13" si="5">SUM(E14:E17)</f>
        <v>488450</v>
      </c>
      <c r="F13" s="65">
        <f t="shared" si="5"/>
        <v>488450</v>
      </c>
      <c r="G13" s="65">
        <f t="shared" si="5"/>
        <v>488450</v>
      </c>
    </row>
    <row r="14" spans="1:9" ht="25.5" customHeight="1" x14ac:dyDescent="0.25">
      <c r="A14" s="49" t="s">
        <v>93</v>
      </c>
      <c r="B14" s="56" t="s">
        <v>10</v>
      </c>
      <c r="C14" s="65">
        <f>120000/7.5345</f>
        <v>15926.737009755125</v>
      </c>
      <c r="D14" s="65">
        <v>132.72</v>
      </c>
      <c r="E14" s="65">
        <v>13150</v>
      </c>
      <c r="F14" s="65">
        <v>13150</v>
      </c>
      <c r="G14" s="65">
        <v>13150</v>
      </c>
    </row>
    <row r="15" spans="1:9" ht="25.5" customHeight="1" x14ac:dyDescent="0.25">
      <c r="A15" s="49" t="s">
        <v>94</v>
      </c>
      <c r="B15" s="56" t="s">
        <v>65</v>
      </c>
      <c r="C15" s="65">
        <f>1873439.14/7.5345</f>
        <v>248648.10405468178</v>
      </c>
      <c r="D15" s="65">
        <v>84610.79</v>
      </c>
      <c r="E15" s="65">
        <v>105300</v>
      </c>
      <c r="F15" s="65">
        <v>105300</v>
      </c>
      <c r="G15" s="65">
        <v>105300</v>
      </c>
    </row>
    <row r="16" spans="1:9" ht="25.5" customHeight="1" x14ac:dyDescent="0.25">
      <c r="A16" s="49" t="s">
        <v>95</v>
      </c>
      <c r="B16" s="56" t="s">
        <v>66</v>
      </c>
      <c r="C16" s="65">
        <f>144000/7.5345</f>
        <v>19112.08441170615</v>
      </c>
      <c r="D16" s="65">
        <v>21235.65</v>
      </c>
      <c r="E16" s="65">
        <v>20000</v>
      </c>
      <c r="F16" s="65">
        <v>20000</v>
      </c>
      <c r="G16" s="91">
        <v>20000</v>
      </c>
    </row>
    <row r="17" spans="1:7" ht="25.5" x14ac:dyDescent="0.25">
      <c r="A17" s="45" t="s">
        <v>96</v>
      </c>
      <c r="B17" s="61" t="s">
        <v>67</v>
      </c>
      <c r="C17" s="65">
        <v>0</v>
      </c>
      <c r="D17" s="65">
        <v>265445.62</v>
      </c>
      <c r="E17" s="92">
        <v>350000</v>
      </c>
      <c r="F17" s="92">
        <v>350000</v>
      </c>
      <c r="G17" s="92">
        <v>350000</v>
      </c>
    </row>
    <row r="18" spans="1:7" ht="25.5" x14ac:dyDescent="0.25">
      <c r="A18" s="51" t="s">
        <v>97</v>
      </c>
      <c r="B18" s="58" t="s">
        <v>98</v>
      </c>
      <c r="C18" s="90">
        <f>+C22+C19</f>
        <v>292073.80419735872</v>
      </c>
      <c r="D18" s="90">
        <f>+D22</f>
        <v>205159.72999999998</v>
      </c>
      <c r="E18" s="90">
        <f t="shared" ref="E18:G18" si="6">+E22</f>
        <v>0</v>
      </c>
      <c r="F18" s="90">
        <f t="shared" si="6"/>
        <v>0</v>
      </c>
      <c r="G18" s="90">
        <f t="shared" si="6"/>
        <v>0</v>
      </c>
    </row>
    <row r="19" spans="1:7" s="52" customFormat="1" x14ac:dyDescent="0.25">
      <c r="A19" s="63" t="s">
        <v>119</v>
      </c>
      <c r="B19" s="58"/>
      <c r="C19" s="92">
        <f>+C20</f>
        <v>318.05</v>
      </c>
      <c r="D19" s="92">
        <v>0</v>
      </c>
      <c r="E19" s="92">
        <v>0</v>
      </c>
      <c r="F19" s="92">
        <v>0</v>
      </c>
      <c r="G19" s="92">
        <v>0</v>
      </c>
    </row>
    <row r="20" spans="1:7" s="52" customFormat="1" x14ac:dyDescent="0.25">
      <c r="A20" s="45" t="s">
        <v>90</v>
      </c>
      <c r="B20" s="57" t="s">
        <v>7</v>
      </c>
      <c r="C20" s="92">
        <f>+C21</f>
        <v>318.05</v>
      </c>
      <c r="D20" s="92">
        <v>0</v>
      </c>
      <c r="E20" s="92">
        <v>0</v>
      </c>
      <c r="F20" s="92">
        <v>0</v>
      </c>
      <c r="G20" s="92">
        <v>0</v>
      </c>
    </row>
    <row r="21" spans="1:7" s="52" customFormat="1" x14ac:dyDescent="0.25">
      <c r="A21" s="45" t="s">
        <v>91</v>
      </c>
      <c r="B21" s="57" t="s">
        <v>17</v>
      </c>
      <c r="C21" s="92">
        <v>318.05</v>
      </c>
      <c r="D21" s="92">
        <v>0</v>
      </c>
      <c r="E21" s="92">
        <v>0</v>
      </c>
      <c r="F21" s="92">
        <v>0</v>
      </c>
      <c r="G21" s="92">
        <v>0</v>
      </c>
    </row>
    <row r="22" spans="1:7" x14ac:dyDescent="0.25">
      <c r="A22" s="63" t="s">
        <v>99</v>
      </c>
      <c r="B22" s="57" t="s">
        <v>100</v>
      </c>
      <c r="C22" s="65">
        <f>+C23+C25</f>
        <v>291755.75419735874</v>
      </c>
      <c r="D22" s="65">
        <f>+D23+D25</f>
        <v>205159.72999999998</v>
      </c>
      <c r="E22" s="92">
        <v>0</v>
      </c>
      <c r="F22" s="92">
        <v>0</v>
      </c>
      <c r="G22" s="92">
        <v>0</v>
      </c>
    </row>
    <row r="23" spans="1:7" x14ac:dyDescent="0.25">
      <c r="A23" s="45" t="s">
        <v>90</v>
      </c>
      <c r="B23" s="57" t="s">
        <v>7</v>
      </c>
      <c r="C23" s="65">
        <f>+C24</f>
        <v>171367.52936492133</v>
      </c>
      <c r="D23" s="65">
        <f>+D24</f>
        <v>125526.04</v>
      </c>
      <c r="E23" s="92">
        <v>0</v>
      </c>
      <c r="F23" s="92">
        <v>0</v>
      </c>
      <c r="G23" s="92">
        <v>0</v>
      </c>
    </row>
    <row r="24" spans="1:7" x14ac:dyDescent="0.25">
      <c r="A24" s="45" t="s">
        <v>91</v>
      </c>
      <c r="B24" s="57" t="s">
        <v>17</v>
      </c>
      <c r="C24" s="65">
        <f>1291168.65/7.5345</f>
        <v>171367.52936492133</v>
      </c>
      <c r="D24" s="65">
        <v>125526.04</v>
      </c>
      <c r="E24" s="92">
        <v>0</v>
      </c>
      <c r="F24" s="92">
        <v>0</v>
      </c>
      <c r="G24" s="92">
        <v>0</v>
      </c>
    </row>
    <row r="25" spans="1:7" x14ac:dyDescent="0.25">
      <c r="A25" s="45" t="s">
        <v>92</v>
      </c>
      <c r="B25" s="56" t="s">
        <v>9</v>
      </c>
      <c r="C25" s="65">
        <f>+C26</f>
        <v>120388.22483243744</v>
      </c>
      <c r="D25" s="91">
        <f>+D26</f>
        <v>79633.69</v>
      </c>
      <c r="E25" s="92">
        <v>0</v>
      </c>
      <c r="F25" s="92">
        <v>0</v>
      </c>
      <c r="G25" s="92">
        <v>0</v>
      </c>
    </row>
    <row r="26" spans="1:7" ht="25.5" x14ac:dyDescent="0.25">
      <c r="A26" s="45" t="s">
        <v>94</v>
      </c>
      <c r="B26" s="56" t="s">
        <v>65</v>
      </c>
      <c r="C26" s="65">
        <f>907065.08/7.5345</f>
        <v>120388.22483243744</v>
      </c>
      <c r="D26" s="65">
        <v>79633.69</v>
      </c>
      <c r="E26" s="92">
        <v>0</v>
      </c>
      <c r="F26" s="92">
        <v>0</v>
      </c>
      <c r="G26" s="92">
        <v>0</v>
      </c>
    </row>
    <row r="27" spans="1:7" ht="25.5" x14ac:dyDescent="0.25">
      <c r="A27" s="51" t="s">
        <v>101</v>
      </c>
      <c r="B27" s="58" t="s">
        <v>102</v>
      </c>
      <c r="C27" s="90">
        <f>+C28</f>
        <v>3742966.1822284157</v>
      </c>
      <c r="D27" s="90">
        <f>+D28</f>
        <v>4104070.5500000003</v>
      </c>
      <c r="E27" s="90">
        <f t="shared" ref="E27:G28" si="7">+E28</f>
        <v>4329795</v>
      </c>
      <c r="F27" s="90">
        <f t="shared" si="7"/>
        <v>4346652</v>
      </c>
      <c r="G27" s="90">
        <f t="shared" si="7"/>
        <v>4363592</v>
      </c>
    </row>
    <row r="28" spans="1:7" x14ac:dyDescent="0.25">
      <c r="A28" s="63" t="s">
        <v>88</v>
      </c>
      <c r="B28" s="57" t="s">
        <v>89</v>
      </c>
      <c r="C28" s="92">
        <f>+C29</f>
        <v>3742966.1822284157</v>
      </c>
      <c r="D28" s="65">
        <f>+D29</f>
        <v>4104070.5500000003</v>
      </c>
      <c r="E28" s="65">
        <f t="shared" si="7"/>
        <v>4329795</v>
      </c>
      <c r="F28" s="65">
        <f t="shared" si="7"/>
        <v>4346652</v>
      </c>
      <c r="G28" s="65">
        <f t="shared" si="7"/>
        <v>4363592</v>
      </c>
    </row>
    <row r="29" spans="1:7" x14ac:dyDescent="0.25">
      <c r="A29" s="45" t="s">
        <v>90</v>
      </c>
      <c r="B29" s="57" t="s">
        <v>7</v>
      </c>
      <c r="C29" s="92">
        <f>+C30+C31+C32</f>
        <v>3742966.1822284157</v>
      </c>
      <c r="D29" s="65">
        <f>SUM(D30:D32)</f>
        <v>4104070.5500000003</v>
      </c>
      <c r="E29" s="65">
        <f t="shared" ref="E29:G29" si="8">SUM(E30:E32)</f>
        <v>4329795</v>
      </c>
      <c r="F29" s="65">
        <f t="shared" si="8"/>
        <v>4346652</v>
      </c>
      <c r="G29" s="65">
        <f t="shared" si="8"/>
        <v>4363592</v>
      </c>
    </row>
    <row r="30" spans="1:7" x14ac:dyDescent="0.25">
      <c r="A30" s="45" t="s">
        <v>103</v>
      </c>
      <c r="B30" s="57" t="s">
        <v>8</v>
      </c>
      <c r="C30" s="65">
        <f>22975888.26/7.5345</f>
        <v>3049424.4156878358</v>
      </c>
      <c r="D30" s="65">
        <v>3267478.85</v>
      </c>
      <c r="E30" s="92">
        <v>3513204</v>
      </c>
      <c r="F30" s="92">
        <v>3530061</v>
      </c>
      <c r="G30" s="92">
        <v>3547001</v>
      </c>
    </row>
    <row r="31" spans="1:7" x14ac:dyDescent="0.25">
      <c r="A31" s="45" t="s">
        <v>91</v>
      </c>
      <c r="B31" s="57" t="s">
        <v>17</v>
      </c>
      <c r="C31" s="65">
        <f>5173804.84/7.5345</f>
        <v>686681.90855398495</v>
      </c>
      <c r="D31" s="65">
        <v>833008.18</v>
      </c>
      <c r="E31" s="92">
        <v>813241</v>
      </c>
      <c r="F31" s="92">
        <v>813241</v>
      </c>
      <c r="G31" s="92">
        <v>813241</v>
      </c>
    </row>
    <row r="32" spans="1:7" x14ac:dyDescent="0.25">
      <c r="A32" s="45" t="s">
        <v>104</v>
      </c>
      <c r="B32" s="54" t="s">
        <v>62</v>
      </c>
      <c r="C32" s="65">
        <f>51685.6/7.5345</f>
        <v>6859.857986594996</v>
      </c>
      <c r="D32" s="65">
        <f>3318.07+265.45</f>
        <v>3583.52</v>
      </c>
      <c r="E32" s="92">
        <v>3350</v>
      </c>
      <c r="F32" s="92">
        <v>3350</v>
      </c>
      <c r="G32" s="92">
        <v>3350</v>
      </c>
    </row>
    <row r="33" spans="1:7" ht="25.5" x14ac:dyDescent="0.25">
      <c r="A33" s="51" t="s">
        <v>105</v>
      </c>
      <c r="B33" s="58" t="s">
        <v>106</v>
      </c>
      <c r="C33" s="90">
        <f>+C34+C46+C52+C56</f>
        <v>305000.4543134913</v>
      </c>
      <c r="D33" s="90">
        <f>+D34+D46+D52+D56</f>
        <v>239843.49000000002</v>
      </c>
      <c r="E33" s="90">
        <f t="shared" ref="E33:G33" si="9">+E34+E46+E52+E56</f>
        <v>606890</v>
      </c>
      <c r="F33" s="90">
        <f t="shared" si="9"/>
        <v>548315</v>
      </c>
      <c r="G33" s="90">
        <f t="shared" si="9"/>
        <v>548315</v>
      </c>
    </row>
    <row r="34" spans="1:7" x14ac:dyDescent="0.25">
      <c r="A34" s="63" t="s">
        <v>107</v>
      </c>
      <c r="B34" s="57" t="s">
        <v>108</v>
      </c>
      <c r="C34" s="65">
        <f>+C35+C41</f>
        <v>255382.01513371823</v>
      </c>
      <c r="D34" s="65">
        <f>+D35+D41</f>
        <v>175539.62</v>
      </c>
      <c r="E34" s="65">
        <f t="shared" ref="E34:G34" si="10">+E35+E41</f>
        <v>401670</v>
      </c>
      <c r="F34" s="65">
        <f t="shared" si="10"/>
        <v>345420</v>
      </c>
      <c r="G34" s="65">
        <f t="shared" si="10"/>
        <v>345420</v>
      </c>
    </row>
    <row r="35" spans="1:7" x14ac:dyDescent="0.25">
      <c r="A35" s="45" t="s">
        <v>90</v>
      </c>
      <c r="B35" s="57" t="s">
        <v>7</v>
      </c>
      <c r="C35" s="65">
        <f>SUM(C36:C40)</f>
        <v>149266.36976906232</v>
      </c>
      <c r="D35" s="65">
        <f>SUM(D36:D39)</f>
        <v>107173.65000000001</v>
      </c>
      <c r="E35" s="65">
        <f>SUM(E36:E39)</f>
        <v>224800</v>
      </c>
      <c r="F35" s="65">
        <f t="shared" ref="F35:G35" si="11">SUM(F36:F39)</f>
        <v>224800</v>
      </c>
      <c r="G35" s="65">
        <f t="shared" si="11"/>
        <v>224800</v>
      </c>
    </row>
    <row r="36" spans="1:7" x14ac:dyDescent="0.25">
      <c r="A36" s="45" t="s">
        <v>103</v>
      </c>
      <c r="B36" s="57" t="s">
        <v>8</v>
      </c>
      <c r="C36" s="65">
        <f>481162.44/7.5345</f>
        <v>63861.230340433998</v>
      </c>
      <c r="D36" s="65">
        <v>36432.410000000003</v>
      </c>
      <c r="E36" s="92">
        <v>62150</v>
      </c>
      <c r="F36" s="92">
        <v>62150</v>
      </c>
      <c r="G36" s="92">
        <v>62150</v>
      </c>
    </row>
    <row r="37" spans="1:7" x14ac:dyDescent="0.25">
      <c r="A37" s="45" t="s">
        <v>91</v>
      </c>
      <c r="B37" s="57" t="s">
        <v>17</v>
      </c>
      <c r="C37" s="65">
        <f>625848.09/7.5345</f>
        <v>83064.316145729637</v>
      </c>
      <c r="D37" s="65">
        <v>67821.350000000006</v>
      </c>
      <c r="E37" s="92">
        <v>160000</v>
      </c>
      <c r="F37" s="92">
        <v>160000</v>
      </c>
      <c r="G37" s="92">
        <v>160000</v>
      </c>
    </row>
    <row r="38" spans="1:7" x14ac:dyDescent="0.25">
      <c r="A38" s="45" t="s">
        <v>104</v>
      </c>
      <c r="B38" s="54" t="s">
        <v>62</v>
      </c>
      <c r="C38" s="65">
        <f>2636.9/7.5345</f>
        <v>349.97677350852746</v>
      </c>
      <c r="D38" s="65">
        <v>1592.66</v>
      </c>
      <c r="E38" s="92">
        <v>1350</v>
      </c>
      <c r="F38" s="92">
        <v>1350</v>
      </c>
      <c r="G38" s="92">
        <v>1350</v>
      </c>
    </row>
    <row r="39" spans="1:7" ht="25.5" x14ac:dyDescent="0.25">
      <c r="A39" s="45" t="s">
        <v>109</v>
      </c>
      <c r="B39" s="56" t="s">
        <v>63</v>
      </c>
      <c r="C39" s="65">
        <f>13000/7.5345</f>
        <v>1725.3965093901386</v>
      </c>
      <c r="D39" s="65">
        <v>1327.23</v>
      </c>
      <c r="E39" s="92">
        <v>1300</v>
      </c>
      <c r="F39" s="92">
        <v>1300</v>
      </c>
      <c r="G39" s="92">
        <v>1300</v>
      </c>
    </row>
    <row r="40" spans="1:7" s="52" customFormat="1" x14ac:dyDescent="0.25">
      <c r="A40" s="45" t="s">
        <v>120</v>
      </c>
      <c r="B40" s="56" t="s">
        <v>64</v>
      </c>
      <c r="C40" s="65">
        <v>265.45</v>
      </c>
      <c r="D40" s="65">
        <v>0</v>
      </c>
      <c r="E40" s="92">
        <v>0</v>
      </c>
      <c r="F40" s="92">
        <v>0</v>
      </c>
      <c r="G40" s="92">
        <v>0</v>
      </c>
    </row>
    <row r="41" spans="1:7" x14ac:dyDescent="0.25">
      <c r="A41" s="45" t="s">
        <v>92</v>
      </c>
      <c r="B41" s="56" t="s">
        <v>9</v>
      </c>
      <c r="C41" s="65">
        <f>SUM(C42:C45)</f>
        <v>106115.64536465591</v>
      </c>
      <c r="D41" s="65">
        <f>SUM(D42:D45)</f>
        <v>68365.97</v>
      </c>
      <c r="E41" s="65">
        <f t="shared" ref="E41:G41" si="12">SUM(E42:E45)</f>
        <v>176870</v>
      </c>
      <c r="F41" s="65">
        <f t="shared" si="12"/>
        <v>120620</v>
      </c>
      <c r="G41" s="65">
        <f t="shared" si="12"/>
        <v>120620</v>
      </c>
    </row>
    <row r="42" spans="1:7" ht="25.5" x14ac:dyDescent="0.25">
      <c r="A42" s="45" t="s">
        <v>93</v>
      </c>
      <c r="B42" s="56" t="s">
        <v>10</v>
      </c>
      <c r="C42" s="65">
        <f>335530/7.5345</f>
        <v>44532.483907359478</v>
      </c>
      <c r="D42" s="65">
        <v>9636.14</v>
      </c>
      <c r="E42" s="92">
        <v>20000</v>
      </c>
      <c r="F42" s="92">
        <v>20000</v>
      </c>
      <c r="G42" s="92">
        <v>20000</v>
      </c>
    </row>
    <row r="43" spans="1:7" ht="25.5" x14ac:dyDescent="0.25">
      <c r="A43" s="45" t="s">
        <v>94</v>
      </c>
      <c r="B43" s="56" t="s">
        <v>65</v>
      </c>
      <c r="C43" s="65">
        <f>447340.77/7.5345</f>
        <v>59372.323312761298</v>
      </c>
      <c r="D43" s="65">
        <v>32185.27</v>
      </c>
      <c r="E43" s="92">
        <v>119370</v>
      </c>
      <c r="F43" s="92">
        <v>63120</v>
      </c>
      <c r="G43" s="92">
        <v>63120</v>
      </c>
    </row>
    <row r="44" spans="1:7" s="52" customFormat="1" ht="25.5" x14ac:dyDescent="0.25">
      <c r="A44" s="45" t="s">
        <v>95</v>
      </c>
      <c r="B44" s="56" t="s">
        <v>66</v>
      </c>
      <c r="C44" s="65">
        <f>16657.56/7.5345</f>
        <v>2210.8381445351383</v>
      </c>
      <c r="D44" s="65">
        <v>0</v>
      </c>
      <c r="E44" s="92">
        <v>500</v>
      </c>
      <c r="F44" s="92">
        <v>500</v>
      </c>
      <c r="G44" s="92">
        <v>500</v>
      </c>
    </row>
    <row r="45" spans="1:7" ht="25.5" x14ac:dyDescent="0.25">
      <c r="A45" s="45" t="s">
        <v>96</v>
      </c>
      <c r="B45" s="61" t="s">
        <v>67</v>
      </c>
      <c r="C45" s="65">
        <v>0</v>
      </c>
      <c r="D45" s="65">
        <v>26544.560000000001</v>
      </c>
      <c r="E45" s="92">
        <v>37000</v>
      </c>
      <c r="F45" s="92">
        <v>37000</v>
      </c>
      <c r="G45" s="92">
        <v>37000</v>
      </c>
    </row>
    <row r="46" spans="1:7" x14ac:dyDescent="0.25">
      <c r="A46" s="63" t="s">
        <v>110</v>
      </c>
      <c r="B46" s="61" t="s">
        <v>111</v>
      </c>
      <c r="C46" s="65">
        <f>+C47</f>
        <v>25076.221381644435</v>
      </c>
      <c r="D46" s="65">
        <f>+D47</f>
        <v>33180.699999999997</v>
      </c>
      <c r="E46" s="65">
        <f>+E47+E50</f>
        <v>36325</v>
      </c>
      <c r="F46" s="65">
        <f t="shared" ref="F46:G46" si="13">+F47+F50</f>
        <v>34000</v>
      </c>
      <c r="G46" s="65">
        <f t="shared" si="13"/>
        <v>34000</v>
      </c>
    </row>
    <row r="47" spans="1:7" x14ac:dyDescent="0.25">
      <c r="A47" s="45" t="s">
        <v>90</v>
      </c>
      <c r="B47" s="57" t="s">
        <v>7</v>
      </c>
      <c r="C47" s="65">
        <f>+C48+C49</f>
        <v>25076.221381644435</v>
      </c>
      <c r="D47" s="65">
        <f>+D48+D49</f>
        <v>33180.699999999997</v>
      </c>
      <c r="E47" s="65">
        <f>+E48+E49</f>
        <v>35410</v>
      </c>
      <c r="F47" s="65">
        <f>+F48+F49</f>
        <v>33085</v>
      </c>
      <c r="G47" s="65">
        <f>+G48+G49</f>
        <v>33085</v>
      </c>
    </row>
    <row r="48" spans="1:7" x14ac:dyDescent="0.25">
      <c r="A48" s="45" t="s">
        <v>103</v>
      </c>
      <c r="B48" s="57" t="s">
        <v>8</v>
      </c>
      <c r="C48" s="92">
        <f>79183.8/7.5345</f>
        <v>10509.496316942066</v>
      </c>
      <c r="D48" s="65">
        <v>11945.05</v>
      </c>
      <c r="E48" s="92">
        <v>14275</v>
      </c>
      <c r="F48" s="92">
        <v>11950</v>
      </c>
      <c r="G48" s="92">
        <v>11950</v>
      </c>
    </row>
    <row r="49" spans="1:7" x14ac:dyDescent="0.25">
      <c r="A49" s="45" t="s">
        <v>91</v>
      </c>
      <c r="B49" s="57" t="s">
        <v>17</v>
      </c>
      <c r="C49" s="92">
        <f>109752.99/7.5345</f>
        <v>14566.725064702368</v>
      </c>
      <c r="D49" s="65">
        <v>21235.65</v>
      </c>
      <c r="E49" s="92">
        <v>21135</v>
      </c>
      <c r="F49" s="92">
        <v>21135</v>
      </c>
      <c r="G49" s="92">
        <v>21135</v>
      </c>
    </row>
    <row r="50" spans="1:7" s="52" customFormat="1" x14ac:dyDescent="0.25">
      <c r="A50" s="45" t="s">
        <v>92</v>
      </c>
      <c r="B50" s="56" t="s">
        <v>9</v>
      </c>
      <c r="C50" s="92">
        <v>0</v>
      </c>
      <c r="D50" s="65">
        <v>0</v>
      </c>
      <c r="E50" s="92">
        <f>+E51</f>
        <v>915</v>
      </c>
      <c r="F50" s="92">
        <f t="shared" ref="F50:G50" si="14">+F51</f>
        <v>915</v>
      </c>
      <c r="G50" s="92">
        <f t="shared" si="14"/>
        <v>915</v>
      </c>
    </row>
    <row r="51" spans="1:7" s="52" customFormat="1" ht="25.5" x14ac:dyDescent="0.25">
      <c r="A51" s="45" t="s">
        <v>94</v>
      </c>
      <c r="B51" s="56" t="s">
        <v>65</v>
      </c>
      <c r="C51" s="92">
        <v>0</v>
      </c>
      <c r="D51" s="65">
        <v>0</v>
      </c>
      <c r="E51" s="92">
        <v>915</v>
      </c>
      <c r="F51" s="92">
        <v>915</v>
      </c>
      <c r="G51" s="92">
        <v>915</v>
      </c>
    </row>
    <row r="52" spans="1:7" x14ac:dyDescent="0.25">
      <c r="A52" s="63" t="s">
        <v>99</v>
      </c>
      <c r="B52" s="54" t="s">
        <v>112</v>
      </c>
      <c r="C52" s="65">
        <f>+C53</f>
        <v>22631.009356957995</v>
      </c>
      <c r="D52" s="65">
        <f>+D53</f>
        <v>11919.17</v>
      </c>
      <c r="E52" s="65">
        <f>+E53</f>
        <v>158895</v>
      </c>
      <c r="F52" s="65">
        <f t="shared" ref="F52:G52" si="15">+F53</f>
        <v>158895</v>
      </c>
      <c r="G52" s="65">
        <f t="shared" si="15"/>
        <v>158895</v>
      </c>
    </row>
    <row r="53" spans="1:7" x14ac:dyDescent="0.25">
      <c r="A53" s="45" t="s">
        <v>90</v>
      </c>
      <c r="B53" s="57" t="s">
        <v>7</v>
      </c>
      <c r="C53" s="65">
        <f>+C54+C55</f>
        <v>22631.009356957995</v>
      </c>
      <c r="D53" s="65">
        <f>+D54+D55</f>
        <v>11919.17</v>
      </c>
      <c r="E53" s="65">
        <f>+E54+E55</f>
        <v>158895</v>
      </c>
      <c r="F53" s="65">
        <f t="shared" ref="F53:G53" si="16">+F54+F55</f>
        <v>158895</v>
      </c>
      <c r="G53" s="65">
        <f t="shared" si="16"/>
        <v>158895</v>
      </c>
    </row>
    <row r="54" spans="1:7" x14ac:dyDescent="0.25">
      <c r="A54" s="45" t="s">
        <v>103</v>
      </c>
      <c r="B54" s="57" t="s">
        <v>8</v>
      </c>
      <c r="C54" s="92">
        <f>166001.34/7.5345</f>
        <v>22032.1640453912</v>
      </c>
      <c r="D54" s="65">
        <v>11345.81</v>
      </c>
      <c r="E54" s="92">
        <v>13702</v>
      </c>
      <c r="F54" s="92">
        <v>13702</v>
      </c>
      <c r="G54" s="92">
        <v>13702</v>
      </c>
    </row>
    <row r="55" spans="1:7" x14ac:dyDescent="0.25">
      <c r="A55" s="45" t="s">
        <v>91</v>
      </c>
      <c r="B55" s="57" t="s">
        <v>17</v>
      </c>
      <c r="C55" s="92">
        <f>4512/7.5345</f>
        <v>598.8453115667927</v>
      </c>
      <c r="D55" s="65">
        <v>573.36</v>
      </c>
      <c r="E55" s="92">
        <v>145193</v>
      </c>
      <c r="F55" s="92">
        <v>145193</v>
      </c>
      <c r="G55" s="92">
        <v>145193</v>
      </c>
    </row>
    <row r="56" spans="1:7" s="52" customFormat="1" x14ac:dyDescent="0.25">
      <c r="A56" s="63" t="s">
        <v>117</v>
      </c>
      <c r="B56" s="57" t="s">
        <v>118</v>
      </c>
      <c r="C56" s="92">
        <f t="shared" ref="C56:E57" si="17">+C57</f>
        <v>1911.2084411706151</v>
      </c>
      <c r="D56" s="65">
        <f t="shared" si="17"/>
        <v>19204</v>
      </c>
      <c r="E56" s="65">
        <f t="shared" si="17"/>
        <v>10000</v>
      </c>
      <c r="F56" s="65">
        <f t="shared" ref="F56:F57" si="18">+F57</f>
        <v>10000</v>
      </c>
      <c r="G56" s="65">
        <f t="shared" ref="G56:G57" si="19">+G57</f>
        <v>10000</v>
      </c>
    </row>
    <row r="57" spans="1:7" s="52" customFormat="1" x14ac:dyDescent="0.25">
      <c r="A57" s="45" t="s">
        <v>92</v>
      </c>
      <c r="B57" s="56" t="s">
        <v>9</v>
      </c>
      <c r="C57" s="92">
        <f t="shared" si="17"/>
        <v>1911.2084411706151</v>
      </c>
      <c r="D57" s="65">
        <f t="shared" si="17"/>
        <v>19204</v>
      </c>
      <c r="E57" s="65">
        <f t="shared" si="17"/>
        <v>10000</v>
      </c>
      <c r="F57" s="65">
        <f t="shared" si="18"/>
        <v>10000</v>
      </c>
      <c r="G57" s="65">
        <f t="shared" si="19"/>
        <v>10000</v>
      </c>
    </row>
    <row r="58" spans="1:7" s="52" customFormat="1" ht="25.5" x14ac:dyDescent="0.25">
      <c r="A58" s="45" t="s">
        <v>95</v>
      </c>
      <c r="B58" s="56" t="s">
        <v>66</v>
      </c>
      <c r="C58" s="92">
        <f>14400/7.5345</f>
        <v>1911.2084411706151</v>
      </c>
      <c r="D58" s="65">
        <v>19204</v>
      </c>
      <c r="E58" s="92">
        <v>10000</v>
      </c>
      <c r="F58" s="92">
        <v>10000</v>
      </c>
      <c r="G58" s="92">
        <v>10000</v>
      </c>
    </row>
    <row r="59" spans="1:7" ht="25.5" x14ac:dyDescent="0.25">
      <c r="A59" s="51" t="s">
        <v>113</v>
      </c>
      <c r="B59" s="58" t="s">
        <v>114</v>
      </c>
      <c r="C59" s="90">
        <f>+C60</f>
        <v>28793.981020638395</v>
      </c>
      <c r="D59" s="90">
        <v>3620611.85</v>
      </c>
      <c r="E59" s="92">
        <v>0</v>
      </c>
      <c r="F59" s="92">
        <v>0</v>
      </c>
      <c r="G59" s="92">
        <v>0</v>
      </c>
    </row>
    <row r="60" spans="1:7" x14ac:dyDescent="0.25">
      <c r="A60" s="63" t="s">
        <v>115</v>
      </c>
      <c r="B60" s="57" t="s">
        <v>116</v>
      </c>
      <c r="C60" s="92">
        <f>+C61</f>
        <v>28793.981020638395</v>
      </c>
      <c r="D60" s="65">
        <v>3620611.85</v>
      </c>
      <c r="E60" s="92">
        <v>0</v>
      </c>
      <c r="F60" s="92">
        <v>0</v>
      </c>
      <c r="G60" s="92">
        <v>0</v>
      </c>
    </row>
    <row r="61" spans="1:7" x14ac:dyDescent="0.25">
      <c r="A61" s="45" t="s">
        <v>90</v>
      </c>
      <c r="B61" s="57" t="s">
        <v>7</v>
      </c>
      <c r="C61" s="92">
        <f>+C62</f>
        <v>28793.981020638395</v>
      </c>
      <c r="D61" s="65">
        <v>3620611.85</v>
      </c>
      <c r="E61" s="92">
        <v>0</v>
      </c>
      <c r="F61" s="92">
        <v>0</v>
      </c>
      <c r="G61" s="92">
        <v>0</v>
      </c>
    </row>
    <row r="62" spans="1:7" x14ac:dyDescent="0.25">
      <c r="A62" s="45" t="s">
        <v>91</v>
      </c>
      <c r="B62" s="57" t="s">
        <v>17</v>
      </c>
      <c r="C62" s="92">
        <f>216948.25/7.5345</f>
        <v>28793.981020638395</v>
      </c>
      <c r="D62" s="65">
        <v>3620611.85</v>
      </c>
      <c r="E62" s="92">
        <v>0</v>
      </c>
      <c r="F62" s="92">
        <v>0</v>
      </c>
      <c r="G62" s="92">
        <v>0</v>
      </c>
    </row>
  </sheetData>
  <mergeCells count="2">
    <mergeCell ref="A4:B4"/>
    <mergeCell ref="A2:G2"/>
  </mergeCells>
  <pageMargins left="0.7" right="0.7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7</vt:i4>
      </vt:variant>
    </vt:vector>
  </HeadingPairs>
  <TitlesOfParts>
    <vt:vector size="14" baseType="lpstr">
      <vt:lpstr>SAŽETAK</vt:lpstr>
      <vt:lpstr> Račun prihoda i rashoda-ekonom</vt:lpstr>
      <vt:lpstr> Račun prihoda i rashoda-izvori</vt:lpstr>
      <vt:lpstr> Račun rashoda-funkcija</vt:lpstr>
      <vt:lpstr> Račun financiranja-ekonomska</vt:lpstr>
      <vt:lpstr> Račun financiranja-izvori</vt:lpstr>
      <vt:lpstr>POSEBNI DIO</vt:lpstr>
      <vt:lpstr>' Račun financiranja-ekonomska'!Podrucje_ispisa</vt:lpstr>
      <vt:lpstr>' Račun financiranja-izvori'!Podrucje_ispisa</vt:lpstr>
      <vt:lpstr>' Račun prihoda i rashoda-ekonom'!Podrucje_ispisa</vt:lpstr>
      <vt:lpstr>' Račun prihoda i rashoda-izvori'!Podrucje_ispisa</vt:lpstr>
      <vt:lpstr>' Račun rashoda-funkcija'!Podrucje_ispisa</vt:lpstr>
      <vt:lpstr>'POSEBNI DIO'!Podrucje_ispisa</vt:lpstr>
      <vt:lpstr>SAŽETAK!Podrucje_ispisa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Paulina Benić</cp:lastModifiedBy>
  <cp:lastPrinted>2023-10-02T05:45:32Z</cp:lastPrinted>
  <dcterms:created xsi:type="dcterms:W3CDTF">2022-08-12T12:51:27Z</dcterms:created>
  <dcterms:modified xsi:type="dcterms:W3CDTF">2023-10-02T07:05:08Z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14. Format izgleda financijskog plana proračunskog korisnika.xlsx</vt:lpwstr>
  </property>
</Properties>
</file>