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 activeTab="6"/>
  </bookViews>
  <sheets>
    <sheet name="SAŽETAK" sheetId="1" r:id="rId1"/>
    <sheet name="Rashodi prema izvorima finan" sheetId="5" r:id="rId2"/>
    <sheet name=" Račun prihoda i rashoda" sheetId="3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2">' Račun prihoda i rashoda'!$B$1:$I$126</definedName>
    <definedName name="_xlnm.Print_Area" localSheetId="0">SAŽETAK!$B$1:$L$36</definedName>
  </definedNames>
  <calcPr calcId="145621"/>
</workbook>
</file>

<file path=xl/calcChain.xml><?xml version="1.0" encoding="utf-8"?>
<calcChain xmlns="http://schemas.openxmlformats.org/spreadsheetml/2006/main">
  <c r="H222" i="7" l="1"/>
  <c r="H210" i="7"/>
  <c r="H194" i="7"/>
  <c r="H182" i="7"/>
  <c r="H178" i="7"/>
  <c r="H176" i="7"/>
  <c r="H163" i="7"/>
  <c r="H149" i="7"/>
  <c r="H134" i="7"/>
  <c r="H117" i="7"/>
  <c r="H102" i="7"/>
  <c r="H100" i="7"/>
  <c r="H92" i="7"/>
  <c r="H87" i="7"/>
  <c r="H82" i="7"/>
  <c r="H80" i="7"/>
  <c r="H78" i="7"/>
  <c r="H77" i="7"/>
  <c r="H76" i="7"/>
  <c r="H75" i="7"/>
  <c r="H74" i="7"/>
  <c r="H71" i="7"/>
  <c r="H70" i="7"/>
  <c r="H69" i="7"/>
  <c r="H68" i="7"/>
  <c r="H63" i="7"/>
  <c r="H83" i="7"/>
  <c r="H66" i="7"/>
  <c r="H64" i="7"/>
  <c r="H55" i="7"/>
  <c r="H41" i="7"/>
  <c r="H28" i="7"/>
  <c r="H26" i="7"/>
  <c r="F29" i="7" l="1"/>
  <c r="K101" i="3"/>
  <c r="H103" i="7" l="1"/>
  <c r="H96" i="7" s="1"/>
  <c r="H147" i="7"/>
  <c r="H193" i="7"/>
  <c r="H207" i="7"/>
  <c r="H168" i="7"/>
  <c r="H162" i="7"/>
  <c r="H101" i="7"/>
  <c r="H98" i="7"/>
  <c r="H73" i="7"/>
  <c r="H54" i="7"/>
  <c r="F196" i="7" l="1"/>
  <c r="F179" i="7"/>
  <c r="F175" i="7"/>
  <c r="F148" i="7"/>
  <c r="F133" i="7"/>
  <c r="F125" i="7"/>
  <c r="F113" i="7"/>
  <c r="F108" i="7"/>
  <c r="F104" i="7"/>
  <c r="F98" i="7"/>
  <c r="F91" i="7"/>
  <c r="F83" i="7"/>
  <c r="F73" i="7"/>
  <c r="F67" i="7"/>
  <c r="F63" i="7"/>
  <c r="F54" i="7"/>
  <c r="F38" i="7"/>
  <c r="F21" i="7"/>
  <c r="F16" i="7"/>
  <c r="F13" i="7"/>
  <c r="H225" i="7" l="1"/>
  <c r="H224" i="7" s="1"/>
  <c r="H223" i="7" s="1"/>
  <c r="H220" i="7"/>
  <c r="H161" i="7"/>
  <c r="H141" i="7" s="1"/>
  <c r="H95" i="7" s="1"/>
  <c r="H202" i="7"/>
  <c r="H192" i="7"/>
  <c r="H191" i="7" s="1"/>
  <c r="H206" i="7"/>
  <c r="H62" i="7"/>
  <c r="H185" i="7"/>
  <c r="H167" i="7" s="1"/>
  <c r="H53" i="7"/>
  <c r="H33" i="7"/>
  <c r="H11" i="7"/>
  <c r="H216" i="7" l="1"/>
  <c r="H215" i="7" s="1"/>
  <c r="H214" i="7" s="1"/>
  <c r="H52" i="7"/>
  <c r="H51" i="7" s="1"/>
  <c r="H190" i="7"/>
  <c r="H189" i="7" s="1"/>
  <c r="H166" i="7"/>
  <c r="H10" i="7"/>
  <c r="H94" i="7"/>
  <c r="F220" i="7"/>
  <c r="F203" i="7"/>
  <c r="F147" i="7"/>
  <c r="F161" i="7"/>
  <c r="F142" i="7"/>
  <c r="F132" i="7"/>
  <c r="F103" i="7"/>
  <c r="F97" i="7"/>
  <c r="F62" i="7"/>
  <c r="F53" i="7"/>
  <c r="F90" i="7"/>
  <c r="F37" i="7"/>
  <c r="F12" i="7"/>
  <c r="F225" i="7"/>
  <c r="F226" i="7" s="1"/>
  <c r="F207" i="7"/>
  <c r="F191" i="7"/>
  <c r="F192" i="7" s="1"/>
  <c r="F168" i="7"/>
  <c r="F172" i="7" s="1"/>
  <c r="F141" i="7"/>
  <c r="F96" i="7" s="1"/>
  <c r="F52" i="7"/>
  <c r="F33" i="7"/>
  <c r="F11" i="7" s="1"/>
  <c r="F8" i="7"/>
  <c r="H9" i="7" l="1"/>
  <c r="H8" i="7" s="1"/>
  <c r="G8" i="8"/>
  <c r="F7" i="8"/>
  <c r="F6" i="8" s="1"/>
  <c r="D7" i="8"/>
  <c r="D6" i="8" s="1"/>
  <c r="C7" i="8" l="1"/>
  <c r="C6" i="8" s="1"/>
  <c r="G6" i="8" s="1"/>
  <c r="G30" i="5"/>
  <c r="G29" i="5"/>
  <c r="G28" i="5"/>
  <c r="G27" i="5"/>
  <c r="G26" i="5"/>
  <c r="G25" i="5"/>
  <c r="G24" i="5"/>
  <c r="G23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8" i="5"/>
  <c r="G7" i="5"/>
  <c r="G6" i="5"/>
  <c r="F23" i="5"/>
  <c r="J74" i="3"/>
  <c r="J69" i="3"/>
  <c r="H74" i="3"/>
  <c r="H69" i="3"/>
  <c r="J13" i="1"/>
  <c r="F29" i="5"/>
  <c r="F26" i="5"/>
  <c r="F24" i="5"/>
  <c r="F21" i="5"/>
  <c r="F20" i="5" s="1"/>
  <c r="F22" i="5"/>
  <c r="F19" i="5" s="1"/>
  <c r="G7" i="8" l="1"/>
  <c r="F10" i="5"/>
  <c r="F9" i="5"/>
  <c r="F8" i="5"/>
  <c r="F7" i="5" s="1"/>
  <c r="F16" i="5"/>
  <c r="F13" i="5"/>
  <c r="F15" i="5"/>
  <c r="F14" i="5"/>
  <c r="F12" i="5"/>
  <c r="F11" i="5" s="1"/>
  <c r="D29" i="5"/>
  <c r="D26" i="5"/>
  <c r="D24" i="5"/>
  <c r="D22" i="5"/>
  <c r="D20" i="5"/>
  <c r="D16" i="5"/>
  <c r="D13" i="5"/>
  <c r="D6" i="5" s="1"/>
  <c r="D11" i="5"/>
  <c r="D9" i="5"/>
  <c r="D7" i="5"/>
  <c r="C23" i="5"/>
  <c r="C21" i="5"/>
  <c r="G74" i="3"/>
  <c r="K74" i="3" s="1"/>
  <c r="G63" i="3"/>
  <c r="K63" i="3" s="1"/>
  <c r="G13" i="1"/>
  <c r="C20" i="5"/>
  <c r="C28" i="5"/>
  <c r="C26" i="5"/>
  <c r="C25" i="5"/>
  <c r="C22" i="5"/>
  <c r="C29" i="5"/>
  <c r="C30" i="5"/>
  <c r="C27" i="5"/>
  <c r="C24" i="5"/>
  <c r="C6" i="5"/>
  <c r="C16" i="5"/>
  <c r="C17" i="5"/>
  <c r="C15" i="5"/>
  <c r="C13" i="5"/>
  <c r="C14" i="5"/>
  <c r="C11" i="5"/>
  <c r="C12" i="5"/>
  <c r="C7" i="5"/>
  <c r="C10" i="5"/>
  <c r="C9" i="5"/>
  <c r="C8" i="5"/>
  <c r="J102" i="3"/>
  <c r="K98" i="3"/>
  <c r="K99" i="3"/>
  <c r="K100" i="3"/>
  <c r="K102" i="3"/>
  <c r="K67" i="3"/>
  <c r="K51" i="3"/>
  <c r="K50" i="3"/>
  <c r="K121" i="3"/>
  <c r="K120" i="3"/>
  <c r="K119" i="3"/>
  <c r="K114" i="3"/>
  <c r="K113" i="3"/>
  <c r="K112" i="3"/>
  <c r="K110" i="3"/>
  <c r="K109" i="3"/>
  <c r="K108" i="3"/>
  <c r="K97" i="3"/>
  <c r="K96" i="3"/>
  <c r="K95" i="3"/>
  <c r="K94" i="3"/>
  <c r="K93" i="3"/>
  <c r="K91" i="3"/>
  <c r="K90" i="3"/>
  <c r="K89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1" i="3"/>
  <c r="K70" i="3"/>
  <c r="K69" i="3"/>
  <c r="K68" i="3"/>
  <c r="K66" i="3"/>
  <c r="K65" i="3"/>
  <c r="K64" i="3"/>
  <c r="K60" i="3"/>
  <c r="K59" i="3"/>
  <c r="K58" i="3"/>
  <c r="K57" i="3"/>
  <c r="K56" i="3"/>
  <c r="K55" i="3"/>
  <c r="K54" i="3"/>
  <c r="K53" i="3"/>
  <c r="K52" i="3"/>
  <c r="J119" i="3"/>
  <c r="J108" i="3"/>
  <c r="J103" i="3"/>
  <c r="J122" i="3"/>
  <c r="J123" i="3"/>
  <c r="J124" i="3"/>
  <c r="J120" i="3"/>
  <c r="J121" i="3"/>
  <c r="J115" i="3"/>
  <c r="J109" i="3"/>
  <c r="J113" i="3"/>
  <c r="J110" i="3"/>
  <c r="J104" i="3"/>
  <c r="J93" i="3"/>
  <c r="J94" i="3"/>
  <c r="J95" i="3"/>
  <c r="J85" i="3"/>
  <c r="J90" i="3"/>
  <c r="J83" i="3"/>
  <c r="J73" i="3"/>
  <c r="J82" i="3"/>
  <c r="J80" i="3"/>
  <c r="J78" i="3"/>
  <c r="J77" i="3"/>
  <c r="J76" i="3"/>
  <c r="J75" i="3"/>
  <c r="J68" i="3"/>
  <c r="J67" i="3"/>
  <c r="J71" i="3"/>
  <c r="J70" i="3"/>
  <c r="J63" i="3"/>
  <c r="J62" i="3" s="1"/>
  <c r="J65" i="3"/>
  <c r="G59" i="3"/>
  <c r="J56" i="3"/>
  <c r="J50" i="3" s="1"/>
  <c r="J58" i="3"/>
  <c r="J51" i="3"/>
  <c r="D19" i="5" l="1"/>
  <c r="J61" i="3"/>
  <c r="J49" i="3" s="1"/>
  <c r="J48" i="3" s="1"/>
  <c r="F6" i="5"/>
  <c r="C19" i="5"/>
  <c r="G52" i="3"/>
  <c r="G53" i="3"/>
  <c r="H102" i="3"/>
  <c r="H122" i="3"/>
  <c r="H125" i="3"/>
  <c r="H123" i="3"/>
  <c r="H124" i="3"/>
  <c r="G119" i="3"/>
  <c r="G120" i="3"/>
  <c r="H120" i="3"/>
  <c r="H121" i="3"/>
  <c r="G121" i="3"/>
  <c r="H119" i="3"/>
  <c r="H108" i="3"/>
  <c r="H117" i="3"/>
  <c r="H115" i="3"/>
  <c r="H114" i="3"/>
  <c r="H109" i="3" s="1"/>
  <c r="H113" i="3"/>
  <c r="H112" i="3"/>
  <c r="H110" i="3"/>
  <c r="H106" i="3"/>
  <c r="H103" i="3" s="1"/>
  <c r="H107" i="3"/>
  <c r="H104" i="3"/>
  <c r="H99" i="3"/>
  <c r="H100" i="3"/>
  <c r="H97" i="3"/>
  <c r="H94" i="3" s="1"/>
  <c r="H93" i="3" s="1"/>
  <c r="H95" i="3"/>
  <c r="H87" i="3" l="1"/>
  <c r="H86" i="3" l="1"/>
  <c r="H92" i="3"/>
  <c r="H91" i="3"/>
  <c r="H89" i="3"/>
  <c r="H88" i="3"/>
  <c r="H83" i="3"/>
  <c r="H84" i="3"/>
  <c r="H82" i="3"/>
  <c r="H81" i="3"/>
  <c r="H80" i="3"/>
  <c r="H79" i="3"/>
  <c r="H78" i="3"/>
  <c r="H77" i="3"/>
  <c r="H76" i="3"/>
  <c r="H75" i="3"/>
  <c r="H73" i="3"/>
  <c r="H72" i="3"/>
  <c r="H71" i="3"/>
  <c r="H70" i="3"/>
  <c r="H67" i="3"/>
  <c r="H68" i="3"/>
  <c r="H65" i="3"/>
  <c r="H64" i="3"/>
  <c r="H62" i="3" s="1"/>
  <c r="H63" i="3"/>
  <c r="J14" i="1"/>
  <c r="H58" i="3"/>
  <c r="G14" i="1"/>
  <c r="H57" i="3"/>
  <c r="H56" i="3" s="1"/>
  <c r="H50" i="3" s="1"/>
  <c r="H52" i="3"/>
  <c r="H51" i="3"/>
  <c r="H85" i="3" l="1"/>
  <c r="H61" i="3" s="1"/>
  <c r="H49" i="3" s="1"/>
  <c r="H48" i="3" s="1"/>
  <c r="G114" i="3"/>
  <c r="G113" i="3"/>
  <c r="G112" i="3"/>
  <c r="G110" i="3"/>
  <c r="G109" i="3" s="1"/>
  <c r="G108" i="3" s="1"/>
  <c r="G102" i="3" s="1"/>
  <c r="G15" i="1" l="1"/>
  <c r="G101" i="3"/>
  <c r="G100" i="3" s="1"/>
  <c r="G99" i="3" s="1"/>
  <c r="G96" i="3"/>
  <c r="G98" i="3"/>
  <c r="G97" i="3"/>
  <c r="G95" i="3"/>
  <c r="G91" i="3"/>
  <c r="G90" i="3"/>
  <c r="G89" i="3"/>
  <c r="G88" i="3"/>
  <c r="G87" i="3"/>
  <c r="G84" i="3"/>
  <c r="G83" i="3" s="1"/>
  <c r="G82" i="3"/>
  <c r="G81" i="3"/>
  <c r="G80" i="3"/>
  <c r="G79" i="3"/>
  <c r="G78" i="3"/>
  <c r="G77" i="3"/>
  <c r="G76" i="3"/>
  <c r="G75" i="3"/>
  <c r="G68" i="3"/>
  <c r="G71" i="3"/>
  <c r="G70" i="3"/>
  <c r="G16" i="1" l="1"/>
  <c r="G85" i="3"/>
  <c r="G94" i="3"/>
  <c r="G93" i="3"/>
  <c r="G73" i="3"/>
  <c r="K73" i="3" s="1"/>
  <c r="G69" i="3"/>
  <c r="G67" i="3" s="1"/>
  <c r="G66" i="3"/>
  <c r="G65" i="3"/>
  <c r="G64" i="3"/>
  <c r="G60" i="3"/>
  <c r="G57" i="3"/>
  <c r="G56" i="3" s="1"/>
  <c r="G55" i="3"/>
  <c r="G54" i="3"/>
  <c r="J30" i="3"/>
  <c r="J29" i="3" s="1"/>
  <c r="J42" i="3"/>
  <c r="J41" i="3" s="1"/>
  <c r="J39" i="3"/>
  <c r="J35" i="3"/>
  <c r="J34" i="3"/>
  <c r="J32" i="3" s="1"/>
  <c r="J25" i="3"/>
  <c r="J21" i="3"/>
  <c r="J20" i="3" s="1"/>
  <c r="J15" i="3"/>
  <c r="J13" i="3" s="1"/>
  <c r="J18" i="3"/>
  <c r="J16" i="3"/>
  <c r="G62" i="3" l="1"/>
  <c r="G58" i="3"/>
  <c r="J12" i="3"/>
  <c r="J31" i="3"/>
  <c r="J38" i="3"/>
  <c r="G51" i="3"/>
  <c r="J24" i="3"/>
  <c r="J28" i="3"/>
  <c r="H36" i="3"/>
  <c r="H35" i="3" s="1"/>
  <c r="H34" i="3"/>
  <c r="H32" i="3" s="1"/>
  <c r="H42" i="3"/>
  <c r="H41" i="3" s="1"/>
  <c r="H29" i="3"/>
  <c r="H28" i="3" s="1"/>
  <c r="H25" i="3"/>
  <c r="H24" i="3" s="1"/>
  <c r="H20" i="3"/>
  <c r="H18" i="3"/>
  <c r="H16" i="3"/>
  <c r="H13" i="3"/>
  <c r="H39" i="3"/>
  <c r="H38" i="3" s="1"/>
  <c r="H37" i="3" s="1"/>
  <c r="G61" i="3" l="1"/>
  <c r="K61" i="3" s="1"/>
  <c r="K62" i="3"/>
  <c r="G50" i="3"/>
  <c r="G49" i="3" s="1"/>
  <c r="H12" i="3"/>
  <c r="H31" i="3"/>
  <c r="H11" i="3" s="1"/>
  <c r="J37" i="3"/>
  <c r="J11" i="3" s="1"/>
  <c r="G43" i="3"/>
  <c r="K43" i="3" s="1"/>
  <c r="G40" i="3"/>
  <c r="K40" i="3" s="1"/>
  <c r="G39" i="3"/>
  <c r="K39" i="3" s="1"/>
  <c r="G36" i="3"/>
  <c r="K36" i="3" s="1"/>
  <c r="G34" i="3"/>
  <c r="K34" i="3" s="1"/>
  <c r="G33" i="3"/>
  <c r="K33" i="3" s="1"/>
  <c r="G30" i="3"/>
  <c r="K30" i="3" s="1"/>
  <c r="G27" i="3"/>
  <c r="K27" i="3" s="1"/>
  <c r="G26" i="3"/>
  <c r="K26" i="3" s="1"/>
  <c r="G19" i="3"/>
  <c r="K19" i="3" s="1"/>
  <c r="G17" i="3"/>
  <c r="K17" i="3" s="1"/>
  <c r="G23" i="3"/>
  <c r="K23" i="3" s="1"/>
  <c r="G22" i="3"/>
  <c r="K22" i="3" s="1"/>
  <c r="G21" i="3"/>
  <c r="K21" i="3" s="1"/>
  <c r="G15" i="3"/>
  <c r="K15" i="3" s="1"/>
  <c r="G48" i="3" l="1"/>
  <c r="K48" i="3" s="1"/>
  <c r="K49" i="3"/>
  <c r="G29" i="3"/>
  <c r="K29" i="3" s="1"/>
  <c r="G38" i="3"/>
  <c r="G13" i="3"/>
  <c r="K13" i="3" s="1"/>
  <c r="G20" i="3"/>
  <c r="K20" i="3" s="1"/>
  <c r="G28" i="3"/>
  <c r="K28" i="3" s="1"/>
  <c r="G16" i="3"/>
  <c r="K16" i="3" s="1"/>
  <c r="G25" i="3"/>
  <c r="G32" i="3"/>
  <c r="G18" i="3"/>
  <c r="K18" i="3" s="1"/>
  <c r="G35" i="3"/>
  <c r="K35" i="3" s="1"/>
  <c r="G42" i="3"/>
  <c r="G10" i="1"/>
  <c r="G37" i="3" l="1"/>
  <c r="K37" i="3" s="1"/>
  <c r="K38" i="3"/>
  <c r="G12" i="3"/>
  <c r="K12" i="3" s="1"/>
  <c r="K42" i="3"/>
  <c r="G41" i="3"/>
  <c r="K41" i="3" s="1"/>
  <c r="K25" i="3"/>
  <c r="G24" i="3"/>
  <c r="K24" i="3" s="1"/>
  <c r="K32" i="3"/>
  <c r="G31" i="3"/>
  <c r="K31" i="3" s="1"/>
  <c r="J10" i="1"/>
  <c r="G11" i="3" l="1"/>
  <c r="K11" i="3" s="1"/>
  <c r="K10" i="1"/>
  <c r="K14" i="1"/>
  <c r="K13" i="1"/>
  <c r="J15" i="1"/>
  <c r="J12" i="1"/>
  <c r="H16" i="1"/>
  <c r="H15" i="1"/>
  <c r="H12" i="1"/>
  <c r="G12" i="1"/>
  <c r="K15" i="1" l="1"/>
  <c r="K12" i="1"/>
  <c r="J16" i="1"/>
  <c r="K16" i="1" l="1"/>
</calcChain>
</file>

<file path=xl/sharedStrings.xml><?xml version="1.0" encoding="utf-8"?>
<sst xmlns="http://schemas.openxmlformats.org/spreadsheetml/2006/main" count="513" uniqueCount="216">
  <si>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</si>
  <si>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</si>
  <si>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</si>
  <si>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</si>
  <si>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</si>
  <si>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</si>
  <si>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</si>
  <si>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</si>
  <si>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</si>
  <si>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</si>
  <si>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</si>
  <si>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</si>
  <si>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</si>
  <si>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</si>
  <si>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</si>
  <si>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</si>
  <si>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</si>
  <si>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</si>
  <si>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</si>
  <si>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</si>
  <si>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</si>
  <si>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</si>
  <si>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</si>
  <si>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</si>
  <si>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</si>
  <si>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</si>
  <si>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</si>
  <si>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</si>
  <si>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</si>
  <si>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</si>
  <si>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</si>
  <si>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</si>
  <si>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</si>
  <si>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</si>
  <si>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</si>
  <si>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</si>
  <si>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</si>
  <si>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</si>
  <si>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</si>
  <si>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</si>
  <si>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</si>
  <si>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</si>
  <si>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</si>
  <si>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</si>
  <si>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</si>
  <si>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</si>
  <si>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</si>
  <si>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</si>
  <si>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</si>
  <si>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</si>
  <si>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</si>
  <si>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</si>
  <si>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</si>
  <si>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</si>
  <si>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</si>
  <si>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</si>
  <si>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</si>
  <si>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</si>
  <si>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</si>
  <si>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</si>
  <si>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</si>
  <si>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</si>
  <si>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</si>
  <si>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</si>
  <si>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</si>
  <si>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</si>
  <si>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</si>
  <si>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</si>
  <si>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</si>
  <si>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</si>
  <si>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</si>
  <si>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</si>
  <si>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</si>
  <si>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</si>
  <si>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</si>
  <si>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</si>
  <si>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</si>
  <si>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</si>
  <si>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</si>
  <si>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</si>
  <si>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</si>
  <si>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Pomoći od međunarodnih organizacija te institucija i tijela EU</t>
  </si>
  <si>
    <t>Kapitalne pomoći od institucija i tijela EU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</si>
  <si>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</si>
  <si>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</si>
  <si>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</si>
  <si>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</si>
  <si>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Prihodi od imovine</t>
  </si>
  <si>
    <t>Pomoći od izvanproračunskih korisnika</t>
  </si>
  <si>
    <t>Tekuće pomoći od HZMO-a, HZZ-a i HZZO-a</t>
  </si>
  <si>
    <t>Pomoći temeljem prijenosa EU sredstava</t>
  </si>
  <si>
    <t>Tekuće pomoći temeljem prijenosa EU sredstava</t>
  </si>
  <si>
    <t>Prihodi od financijske imovine</t>
  </si>
  <si>
    <t>Kamate na oročena sredstva i depozite po viđenj</t>
  </si>
  <si>
    <t>Prihodi od pozitivnih tečajnih razlika i razlika zbog promjene valutne klauzule</t>
  </si>
  <si>
    <t>Prihodi od upravnih i administrativnih pristojbi, pristojbi po posebnim propisima i naknada</t>
  </si>
  <si>
    <t>Prihodi po posebnih propisima</t>
  </si>
  <si>
    <t>Ostali nespomenuti prihodi</t>
  </si>
  <si>
    <t>Prihodi od pruženih usluga</t>
  </si>
  <si>
    <t>Donacije od pravnih i fizičkih osoba izvan općeg proračuna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</si>
  <si>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</si>
  <si>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</si>
  <si>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</si>
  <si>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</si>
  <si>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nadležog proračuna za financiranje rashoda za nabavu nefinancijske imovine</t>
  </si>
  <si>
    <t>Kazne, upravne mjere i ostali rashodi</t>
  </si>
  <si>
    <t>Ostali prihodi</t>
  </si>
  <si>
    <t>Tekuće pomoći od institucija i tijela EU</t>
  </si>
  <si>
    <t>Plaće u naravi</t>
  </si>
  <si>
    <t>Plaće za prekovremeni rad</t>
  </si>
  <si>
    <t>Plaće za posebne uvjete rada</t>
  </si>
  <si>
    <t>Ostali rashodi za zaposlene</t>
  </si>
  <si>
    <t>Doprinosi na plaće</t>
  </si>
  <si>
    <t>Doprinosi za obvezno zdravstveno osiguranja</t>
  </si>
  <si>
    <t>Doprinosi za obvezno osiguranje u slučaju nezaposlenosti</t>
  </si>
  <si>
    <t>Stručno usavršavanje zaposlenika</t>
  </si>
  <si>
    <t>Naknade za prijevoz, za rad na terenu i odvojeni život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</si>
  <si>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</si>
  <si>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</si>
  <si>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</si>
  <si>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</si>
  <si>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</si>
  <si>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</si>
  <si>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</si>
  <si>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</si>
  <si>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</si>
  <si>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</si>
  <si>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</si>
  <si>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</si>
  <si>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usluga</t>
  </si>
  <si>
    <t>Intelektualne i osobne usluge</t>
  </si>
  <si>
    <t>Računalne usluge</t>
  </si>
  <si>
    <t>Ostale usluge</t>
  </si>
  <si>
    <t>Naknade troškova osobama izvan radnog odnosa</t>
  </si>
  <si>
    <t>Naknade troškova službenog puta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</si>
  <si>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</si>
  <si>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</si>
  <si>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</si>
  <si>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</si>
  <si>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</si>
  <si>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</si>
  <si>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</si>
  <si>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</si>
  <si>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</si>
  <si>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</si>
  <si>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</si>
  <si>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Ostali financijski rashodi</t>
  </si>
  <si>
    <t>Naknade građanima i kućanstvima na temelju osiguranja i druge naknade</t>
  </si>
  <si>
    <t>Ostale nakade građanima i kućantstvima iz proračuna</t>
  </si>
  <si>
    <t>Naknade građanima i kućanstvima u novcu</t>
  </si>
  <si>
    <t>Rashodi za nabavu proizvedene dugotrajne imovine</t>
  </si>
  <si>
    <t>Postrojenja i oprema</t>
  </si>
  <si>
    <t>Uredska oprema i namještaj</t>
  </si>
  <si>
    <t>Oprema za održavanje i zaštitu</t>
  </si>
  <si>
    <t>Instrumenti, uređaji i strojevi</t>
  </si>
  <si>
    <t>Uređaji, strojevi i oprema za ostale namjene</t>
  </si>
  <si>
    <t>Rashodi za nabavu plemenitih metala i ostalih pohranjenih vrijednosti</t>
  </si>
  <si>
    <t>Plemeniti metali i ostale pohranjene vrijednosti</t>
  </si>
  <si>
    <t>Pohranjene knjige, umjetnička djela i slične vrijednosti</t>
  </si>
  <si>
    <t>Službena, radna i zaštitna odjeća i obuće</t>
  </si>
  <si>
    <t>Naknade za rad predstvaničkih i izvršnih tijela, povjerenstava i slično</t>
  </si>
  <si>
    <t>Rashodi za nabavu neproizvedene dugotrajne imovine</t>
  </si>
  <si>
    <t>Materijalna imovina - prirodna bogatstva</t>
  </si>
  <si>
    <t>Zemljište</t>
  </si>
  <si>
    <t>Nematerijalna imovina</t>
  </si>
  <si>
    <t>Licence</t>
  </si>
  <si>
    <t>Komunikacijska oprema</t>
  </si>
  <si>
    <t>Knjige, umjetnička djela i ostale izložbene vrijednosti</t>
  </si>
  <si>
    <t>Knjige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</si>
  <si>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</si>
  <si>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</si>
  <si>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</si>
  <si>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</si>
  <si>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na postrojenjima i opremi</t>
  </si>
  <si>
    <t>4 Prihodi za posebne namjene</t>
  </si>
  <si>
    <t>43 Ostali prihodi za posebne namjene</t>
  </si>
  <si>
    <t>5 Pomoći</t>
  </si>
  <si>
    <t>52 Ostale pomoći i darovnice</t>
  </si>
  <si>
    <t xml:space="preserve">  57 Ostali programi EU</t>
  </si>
  <si>
    <t>6 Donacije</t>
  </si>
  <si>
    <t>61 Donacije</t>
  </si>
  <si>
    <t>08 Rekreacija, kultura i religija</t>
  </si>
  <si>
    <t>082 Službe kulture</t>
  </si>
  <si>
    <t>Hrvatski državni arhiv</t>
  </si>
  <si>
    <t>Opći prihodi i primitci</t>
  </si>
  <si>
    <t>Vlastiti prihodi</t>
  </si>
  <si>
    <t>Ostali prihodi za posebne namjene</t>
  </si>
  <si>
    <t>Ostale pomoći i darovnice</t>
  </si>
  <si>
    <t>Ostali programi EU</t>
  </si>
  <si>
    <t>Donacije</t>
  </si>
  <si>
    <t>A56502818</t>
  </si>
  <si>
    <t>Arhivi programska djelatnost</t>
  </si>
  <si>
    <t>A56502918</t>
  </si>
  <si>
    <t>A78300018</t>
  </si>
  <si>
    <t>Administracija i upravljanje</t>
  </si>
  <si>
    <t>A78300118</t>
  </si>
  <si>
    <t>Fond solidarnosti Europske unije</t>
  </si>
  <si>
    <t>A78300218</t>
  </si>
  <si>
    <t>Pomoći gradova i županija</t>
  </si>
  <si>
    <t>Rashodi za dodatna ulaganja na enfinancijskoj imovini</t>
  </si>
  <si>
    <t>Naknade građanim i kućanstvima na temelju osiguranja i druge naknade</t>
  </si>
  <si>
    <t>Plaće</t>
  </si>
  <si>
    <t>Ostale naknade građanima i kućanstvima iz proračuna</t>
  </si>
  <si>
    <t>Pohranjene knjige, umjetnička djela</t>
  </si>
  <si>
    <t>Naknade za prijevoz</t>
  </si>
  <si>
    <t>stručno usavršavanje zaposlenika</t>
  </si>
  <si>
    <t>Uredski materijal i ostali materijal</t>
  </si>
  <si>
    <t>Sitan inventar i autogume</t>
  </si>
  <si>
    <t>Službena,radna  i zaštitna odjeća</t>
  </si>
  <si>
    <t>Doprinosi za obvezno zdravstveno osiguranje</t>
  </si>
  <si>
    <t>Zdravstvene i veterinarske usluge</t>
  </si>
  <si>
    <t>Naknade za rad predstavničkih tijela</t>
  </si>
  <si>
    <t>Naknade troškova zaposlenima izvan radnog odnosa</t>
  </si>
  <si>
    <t>Negativne tečajne razlike</t>
  </si>
  <si>
    <t>Naknade građanima i kućanstvima iz proračuna</t>
  </si>
  <si>
    <t>Ostale usluga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</si>
</sst>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0" borderId="3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 applyProtection="1">
      <alignment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6" fillId="0" borderId="3" xfId="0" quotePrefix="1" applyNumberFormat="1" applyFont="1" applyFill="1" applyBorder="1" applyAlignment="1" applyProtection="1">
      <alignment horizontal="center" vertical="center" wrapText="1"/>
    </xf>
    <xf numFmtId="0" fontId="16" fillId="0" borderId="3" xfId="0" quotePrefix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7" fillId="3" borderId="3" xfId="0" applyNumberFormat="1" applyFont="1" applyFill="1" applyBorder="1" applyAlignment="1" applyProtection="1">
      <alignment wrapText="1"/>
    </xf>
    <xf numFmtId="3" fontId="5" fillId="3" borderId="3" xfId="0" applyNumberFormat="1" applyFont="1" applyFill="1" applyBorder="1" applyAlignment="1">
      <alignment horizontal="right"/>
    </xf>
    <xf numFmtId="0" fontId="1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6" fillId="3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20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horizontal="left"/>
    </xf>
    <xf numFmtId="4" fontId="8" fillId="0" borderId="3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 applyProtection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8" fillId="3" borderId="3" xfId="0" applyNumberFormat="1" applyFont="1" applyFill="1" applyBorder="1" applyAlignment="1" applyProtection="1">
      <alignment vertical="center" wrapText="1"/>
    </xf>
    <xf numFmtId="4" fontId="6" fillId="3" borderId="3" xfId="0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16" fillId="3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/>
    <xf numFmtId="4" fontId="17" fillId="2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15" fillId="0" borderId="0" xfId="0" applyNumberFormat="1" applyFont="1" applyAlignment="1">
      <alignment vertical="top" wrapText="1"/>
    </xf>
    <xf numFmtId="4" fontId="0" fillId="0" borderId="0" xfId="0" applyNumberFormat="1"/>
    <xf numFmtId="0" fontId="10" fillId="2" borderId="3" xfId="0" quotePrefix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1" fillId="0" borderId="0" xfId="0" applyFont="1"/>
    <xf numFmtId="0" fontId="21" fillId="2" borderId="3" xfId="0" quotePrefix="1" applyFont="1" applyFill="1" applyBorder="1" applyAlignment="1">
      <alignment horizontal="left" vertical="center"/>
    </xf>
    <xf numFmtId="4" fontId="0" fillId="0" borderId="3" xfId="0" applyNumberFormat="1" applyFont="1" applyBorder="1"/>
    <xf numFmtId="0" fontId="0" fillId="0" borderId="0" xfId="0" applyFont="1"/>
    <xf numFmtId="0" fontId="8" fillId="2" borderId="3" xfId="0" quotePrefix="1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/>
    <xf numFmtId="0" fontId="1" fillId="2" borderId="0" xfId="0" applyFont="1" applyFill="1"/>
    <xf numFmtId="4" fontId="0" fillId="2" borderId="3" xfId="0" applyNumberFormat="1" applyFont="1" applyFill="1" applyBorder="1"/>
    <xf numFmtId="0" fontId="0" fillId="2" borderId="0" xfId="0" applyFont="1" applyFill="1"/>
    <xf numFmtId="0" fontId="8" fillId="2" borderId="3" xfId="0" applyNumberFormat="1" applyFont="1" applyFill="1" applyBorder="1" applyAlignment="1" applyProtection="1">
      <alignment horizontal="left" vertical="center"/>
    </xf>
    <xf numFmtId="4" fontId="6" fillId="2" borderId="3" xfId="0" applyNumberFormat="1" applyFont="1" applyFill="1" applyBorder="1" applyAlignment="1" applyProtection="1">
      <alignment horizontal="right" wrapText="1"/>
    </xf>
    <xf numFmtId="164" fontId="22" fillId="0" borderId="0" xfId="0" applyNumberFormat="1" applyFont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0" fontId="10" fillId="2" borderId="3" xfId="0" quotePrefix="1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vertical="top" wrapText="1"/>
    </xf>
    <xf numFmtId="0" fontId="20" fillId="0" borderId="4" xfId="0" applyFont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4" fontId="2" fillId="2" borderId="4" xfId="0" applyNumberFormat="1" applyFont="1" applyFill="1" applyBorder="1" applyAlignment="1">
      <alignment horizontal="right"/>
    </xf>
    <xf numFmtId="0" fontId="24" fillId="0" borderId="3" xfId="0" applyFont="1" applyBorder="1" applyAlignment="1">
      <alignment horizontal="left" vertical="center" wrapText="1"/>
    </xf>
    <xf numFmtId="4" fontId="23" fillId="2" borderId="4" xfId="0" applyNumberFormat="1" applyFont="1" applyFill="1" applyBorder="1" applyAlignment="1">
      <alignment horizontal="right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6" fillId="3" borderId="1" xfId="0" applyNumberFormat="1" applyFont="1" applyFill="1" applyBorder="1" applyAlignment="1" applyProtection="1">
      <alignment horizontal="center" vertical="center" wrapText="1"/>
    </xf>
    <xf numFmtId="0" fontId="16" fillId="3" borderId="2" xfId="0" applyNumberFormat="1" applyFont="1" applyFill="1" applyBorder="1" applyAlignment="1" applyProtection="1">
      <alignment horizontal="center" vertical="center" wrapText="1"/>
    </xf>
    <xf numFmtId="0" fontId="16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zoomScaleNormal="100" workbookViewId="0">
      <selection activeCell="J13" sqref="J1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  <col min="14" max="14" width="9.85546875" bestFit="1" customWidth="1"/>
  </cols>
  <sheetData>
    <row r="1" spans="2:14" ht="42" customHeight="1" x14ac:dyDescent="0.25">
      <c r="B1" s="120" t="s">
        <v>27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2"/>
    </row>
    <row r="2" spans="2:14" ht="18" customHeight="1" x14ac:dyDescent="0.25">
      <c r="B2" s="3"/>
      <c r="C2" s="3"/>
      <c r="D2" s="3"/>
      <c r="E2" s="3"/>
      <c r="F2" s="3"/>
      <c r="G2" s="19"/>
      <c r="H2" s="3"/>
      <c r="I2" s="19"/>
      <c r="J2" s="3"/>
      <c r="K2" s="3"/>
      <c r="L2" s="19"/>
      <c r="M2" s="3"/>
    </row>
    <row r="3" spans="2:14" ht="15.75" customHeight="1" x14ac:dyDescent="0.25">
      <c r="B3" s="120" t="s">
        <v>11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1"/>
    </row>
    <row r="4" spans="2:14" ht="18" x14ac:dyDescent="0.25">
      <c r="B4" s="3"/>
      <c r="C4" s="3"/>
      <c r="D4" s="3"/>
      <c r="E4" s="3"/>
      <c r="F4" s="3"/>
      <c r="G4" s="19"/>
      <c r="H4" s="3"/>
      <c r="I4" s="19"/>
      <c r="J4" s="3"/>
      <c r="K4" s="3"/>
      <c r="L4" s="19"/>
      <c r="M4" s="4"/>
    </row>
    <row r="5" spans="2:14" ht="18" customHeight="1" x14ac:dyDescent="0.25">
      <c r="B5" s="120" t="s">
        <v>64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30"/>
    </row>
    <row r="6" spans="2:14" ht="18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0"/>
    </row>
    <row r="7" spans="2:14" ht="18" customHeight="1" x14ac:dyDescent="0.25">
      <c r="B7" s="137" t="s">
        <v>80</v>
      </c>
      <c r="C7" s="137"/>
      <c r="D7" s="137"/>
      <c r="E7" s="137"/>
      <c r="F7" s="137"/>
      <c r="G7" s="5"/>
      <c r="H7" s="6"/>
      <c r="I7" s="6"/>
      <c r="J7" s="6"/>
      <c r="K7" s="37"/>
      <c r="L7" s="37"/>
    </row>
    <row r="8" spans="2:14" ht="25.5" x14ac:dyDescent="0.25">
      <c r="B8" s="130" t="s">
        <v>7</v>
      </c>
      <c r="C8" s="130"/>
      <c r="D8" s="130"/>
      <c r="E8" s="130"/>
      <c r="F8" s="130"/>
      <c r="G8" s="34" t="s">
        <v>67</v>
      </c>
      <c r="H8" s="34" t="s">
        <v>63</v>
      </c>
      <c r="I8" s="34" t="s">
        <v>60</v>
      </c>
      <c r="J8" s="34" t="s">
        <v>68</v>
      </c>
      <c r="K8" s="34" t="s">
        <v>30</v>
      </c>
      <c r="L8" s="34" t="s">
        <v>61</v>
      </c>
    </row>
    <row r="9" spans="2:14" x14ac:dyDescent="0.25">
      <c r="B9" s="131">
        <v>1</v>
      </c>
      <c r="C9" s="131"/>
      <c r="D9" s="131"/>
      <c r="E9" s="131"/>
      <c r="F9" s="132"/>
      <c r="G9" s="41">
        <v>2</v>
      </c>
      <c r="H9" s="40">
        <v>3</v>
      </c>
      <c r="I9" s="40">
        <v>4</v>
      </c>
      <c r="J9" s="40">
        <v>5</v>
      </c>
      <c r="K9" s="40" t="s">
        <v>43</v>
      </c>
      <c r="L9" s="40" t="s">
        <v>44</v>
      </c>
    </row>
    <row r="10" spans="2:14" x14ac:dyDescent="0.25">
      <c r="B10" s="126" t="s">
        <v>32</v>
      </c>
      <c r="C10" s="127"/>
      <c r="D10" s="127"/>
      <c r="E10" s="127"/>
      <c r="F10" s="128"/>
      <c r="G10" s="59">
        <f>(15722660.67+5843120)/7.5345</f>
        <v>2862270.9761762558</v>
      </c>
      <c r="H10" s="60">
        <v>8721397.7599999998</v>
      </c>
      <c r="I10" s="60"/>
      <c r="J10" s="60">
        <f>9717798.25+539476.76</f>
        <v>10257275.01</v>
      </c>
      <c r="K10" s="60">
        <f>+J10/G10*100</f>
        <v>358.36142333745158</v>
      </c>
      <c r="L10" s="60"/>
    </row>
    <row r="11" spans="2:14" x14ac:dyDescent="0.25">
      <c r="B11" s="129" t="s">
        <v>31</v>
      </c>
      <c r="C11" s="128"/>
      <c r="D11" s="128"/>
      <c r="E11" s="128"/>
      <c r="F11" s="128"/>
      <c r="G11" s="59">
        <v>0</v>
      </c>
      <c r="H11" s="60">
        <v>0</v>
      </c>
      <c r="I11" s="60"/>
      <c r="J11" s="60">
        <v>0</v>
      </c>
      <c r="K11" s="60">
        <v>0</v>
      </c>
      <c r="L11" s="60"/>
    </row>
    <row r="12" spans="2:14" x14ac:dyDescent="0.25">
      <c r="B12" s="123" t="s">
        <v>0</v>
      </c>
      <c r="C12" s="124"/>
      <c r="D12" s="124"/>
      <c r="E12" s="124"/>
      <c r="F12" s="125"/>
      <c r="G12" s="61">
        <f>G10+G11</f>
        <v>2862270.9761762558</v>
      </c>
      <c r="H12" s="62">
        <f>H10+H11</f>
        <v>8721397.7599999998</v>
      </c>
      <c r="I12" s="62"/>
      <c r="J12" s="62">
        <f>J10+J11</f>
        <v>10257275.01</v>
      </c>
      <c r="K12" s="62">
        <f t="shared" ref="K12:K16" si="0">+J12/G12*100</f>
        <v>358.36142333745158</v>
      </c>
      <c r="L12" s="62"/>
    </row>
    <row r="13" spans="2:14" x14ac:dyDescent="0.25">
      <c r="B13" s="136" t="s">
        <v>33</v>
      </c>
      <c r="C13" s="127"/>
      <c r="D13" s="127"/>
      <c r="E13" s="127"/>
      <c r="F13" s="127"/>
      <c r="G13" s="63">
        <f>(15988453.26-322291.83-204314.56+35929.65-221848.95-5540.94-3333.42-952.74)/7.5345</f>
        <v>2026159.7279182428</v>
      </c>
      <c r="H13" s="60">
        <v>4562157.47</v>
      </c>
      <c r="I13" s="60"/>
      <c r="J13" s="60">
        <f>5199754.73-8776.74-67138.65-2916514.3+5973.83-620-127-4309.3-497.35-211.05-140.94</f>
        <v>2207393.2300000004</v>
      </c>
      <c r="K13" s="60">
        <f t="shared" si="0"/>
        <v>108.9446799077368</v>
      </c>
      <c r="L13" s="64"/>
    </row>
    <row r="14" spans="2:14" x14ac:dyDescent="0.25">
      <c r="B14" s="134" t="s">
        <v>34</v>
      </c>
      <c r="C14" s="128"/>
      <c r="D14" s="128"/>
      <c r="E14" s="128"/>
      <c r="F14" s="128"/>
      <c r="G14" s="59">
        <f>(2574862.2+11600)/7.5345</f>
        <v>343282.52704227221</v>
      </c>
      <c r="H14" s="65">
        <v>4159240.29</v>
      </c>
      <c r="I14" s="65"/>
      <c r="J14" s="65">
        <f>6076569.94+1440729.69+18382.1</f>
        <v>7535681.7300000004</v>
      </c>
      <c r="K14" s="60">
        <f t="shared" si="0"/>
        <v>2195.1835984568033</v>
      </c>
      <c r="L14" s="64"/>
      <c r="N14" s="78"/>
    </row>
    <row r="15" spans="2:14" x14ac:dyDescent="0.25">
      <c r="B15" s="24" t="s">
        <v>1</v>
      </c>
      <c r="C15" s="25"/>
      <c r="D15" s="25"/>
      <c r="E15" s="25"/>
      <c r="F15" s="25"/>
      <c r="G15" s="61">
        <f>SUM(G13:G14)</f>
        <v>2369442.2549605151</v>
      </c>
      <c r="H15" s="62">
        <f>H13+H14</f>
        <v>8721397.7599999998</v>
      </c>
      <c r="I15" s="62"/>
      <c r="J15" s="62">
        <f>J13+J14</f>
        <v>9743074.9600000009</v>
      </c>
      <c r="K15" s="62">
        <f t="shared" si="0"/>
        <v>411.19697851266528</v>
      </c>
      <c r="L15" s="62"/>
      <c r="M15" s="78"/>
    </row>
    <row r="16" spans="2:14" x14ac:dyDescent="0.25">
      <c r="B16" s="135" t="s">
        <v>2</v>
      </c>
      <c r="C16" s="124"/>
      <c r="D16" s="124"/>
      <c r="E16" s="124"/>
      <c r="F16" s="124"/>
      <c r="G16" s="66">
        <f>G12-G15</f>
        <v>492828.72121574078</v>
      </c>
      <c r="H16" s="67">
        <f>H12-H15</f>
        <v>0</v>
      </c>
      <c r="I16" s="67"/>
      <c r="J16" s="67">
        <f>J12-J15</f>
        <v>514200.04999999888</v>
      </c>
      <c r="K16" s="67">
        <f t="shared" si="0"/>
        <v>104.33646170855017</v>
      </c>
      <c r="L16" s="67"/>
      <c r="M16" s="78"/>
    </row>
    <row r="17" spans="1:49" ht="18" x14ac:dyDescent="0.25">
      <c r="B17" s="19"/>
      <c r="C17" s="18"/>
      <c r="D17" s="18"/>
      <c r="E17" s="18"/>
      <c r="F17" s="18"/>
      <c r="G17" s="18"/>
      <c r="H17" s="18"/>
      <c r="I17" s="18"/>
      <c r="J17" s="18"/>
      <c r="K17" s="1"/>
      <c r="L17" s="1"/>
      <c r="M17" s="1"/>
    </row>
    <row r="18" spans="1:49" ht="18" customHeight="1" x14ac:dyDescent="0.25">
      <c r="B18" s="137" t="s">
        <v>74</v>
      </c>
      <c r="C18" s="137"/>
      <c r="D18" s="137"/>
      <c r="E18" s="137"/>
      <c r="F18" s="137"/>
      <c r="G18" s="18"/>
      <c r="H18" s="7"/>
      <c r="I18" s="18"/>
      <c r="J18" s="7"/>
      <c r="K18" s="1"/>
      <c r="L18" s="1"/>
      <c r="M18" s="119"/>
    </row>
    <row r="19" spans="1:49" ht="25.5" x14ac:dyDescent="0.25">
      <c r="B19" s="130" t="s">
        <v>7</v>
      </c>
      <c r="C19" s="130"/>
      <c r="D19" s="130"/>
      <c r="E19" s="130"/>
      <c r="F19" s="130"/>
      <c r="G19" s="34" t="s">
        <v>67</v>
      </c>
      <c r="H19" s="2" t="s">
        <v>63</v>
      </c>
      <c r="I19" s="2" t="s">
        <v>60</v>
      </c>
      <c r="J19" s="2" t="s">
        <v>68</v>
      </c>
      <c r="K19" s="2" t="s">
        <v>30</v>
      </c>
      <c r="L19" s="2" t="s">
        <v>61</v>
      </c>
      <c r="M19" s="78"/>
    </row>
    <row r="20" spans="1:49" x14ac:dyDescent="0.25">
      <c r="B20" s="138">
        <v>1</v>
      </c>
      <c r="C20" s="139"/>
      <c r="D20" s="139"/>
      <c r="E20" s="139"/>
      <c r="F20" s="139"/>
      <c r="G20" s="42">
        <v>2</v>
      </c>
      <c r="H20" s="40">
        <v>3</v>
      </c>
      <c r="I20" s="40">
        <v>4</v>
      </c>
      <c r="J20" s="40">
        <v>5</v>
      </c>
      <c r="K20" s="40" t="s">
        <v>43</v>
      </c>
      <c r="L20" s="40" t="s">
        <v>44</v>
      </c>
    </row>
    <row r="21" spans="1:49" ht="15.75" customHeight="1" x14ac:dyDescent="0.25">
      <c r="B21" s="126" t="s">
        <v>35</v>
      </c>
      <c r="C21" s="140"/>
      <c r="D21" s="140"/>
      <c r="E21" s="140"/>
      <c r="F21" s="140"/>
      <c r="G21" s="35"/>
      <c r="H21" s="23"/>
      <c r="I21" s="23"/>
      <c r="J21" s="23"/>
      <c r="K21" s="23"/>
      <c r="L21" s="23"/>
    </row>
    <row r="22" spans="1:49" x14ac:dyDescent="0.25">
      <c r="B22" s="126" t="s">
        <v>36</v>
      </c>
      <c r="C22" s="127"/>
      <c r="D22" s="127"/>
      <c r="E22" s="127"/>
      <c r="F22" s="127"/>
      <c r="G22" s="33"/>
      <c r="H22" s="23"/>
      <c r="I22" s="23"/>
      <c r="J22" s="23"/>
      <c r="K22" s="23"/>
      <c r="L22" s="23"/>
    </row>
    <row r="23" spans="1:49" ht="15" customHeight="1" x14ac:dyDescent="0.25">
      <c r="B23" s="141" t="s">
        <v>62</v>
      </c>
      <c r="C23" s="142"/>
      <c r="D23" s="142"/>
      <c r="E23" s="142"/>
      <c r="F23" s="143"/>
      <c r="G23" s="44"/>
      <c r="H23" s="45"/>
      <c r="I23" s="45"/>
      <c r="J23" s="45"/>
      <c r="K23" s="45"/>
      <c r="L23" s="45"/>
    </row>
    <row r="24" spans="1:49" s="46" customFormat="1" ht="15" customHeight="1" x14ac:dyDescent="0.25">
      <c r="A24"/>
      <c r="B24" s="126" t="s">
        <v>17</v>
      </c>
      <c r="C24" s="127"/>
      <c r="D24" s="127"/>
      <c r="E24" s="127"/>
      <c r="F24" s="127"/>
      <c r="G24" s="33"/>
      <c r="H24" s="23"/>
      <c r="I24" s="23"/>
      <c r="J24" s="23"/>
      <c r="K24" s="23"/>
      <c r="L24" s="2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6" customFormat="1" ht="15" customHeight="1" x14ac:dyDescent="0.25">
      <c r="A25"/>
      <c r="B25" s="126" t="s">
        <v>73</v>
      </c>
      <c r="C25" s="127"/>
      <c r="D25" s="127"/>
      <c r="E25" s="127"/>
      <c r="F25" s="127"/>
      <c r="G25" s="33"/>
      <c r="H25" s="23"/>
      <c r="I25" s="23"/>
      <c r="J25" s="23"/>
      <c r="K25" s="23"/>
      <c r="L25" s="2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8" customFormat="1" x14ac:dyDescent="0.25">
      <c r="A26" s="56"/>
      <c r="B26" s="141" t="s">
        <v>75</v>
      </c>
      <c r="C26" s="142"/>
      <c r="D26" s="142"/>
      <c r="E26" s="142"/>
      <c r="F26" s="143"/>
      <c r="G26" s="44"/>
      <c r="H26" s="57"/>
      <c r="I26" s="57"/>
      <c r="J26" s="57"/>
      <c r="K26" s="57"/>
      <c r="L26" s="57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</row>
    <row r="27" spans="1:49" ht="15.75" x14ac:dyDescent="0.25">
      <c r="B27" s="133" t="s">
        <v>76</v>
      </c>
      <c r="C27" s="133"/>
      <c r="D27" s="133"/>
      <c r="E27" s="133"/>
      <c r="F27" s="133"/>
      <c r="G27" s="47"/>
      <c r="H27" s="48"/>
      <c r="I27" s="48"/>
      <c r="J27" s="48"/>
      <c r="K27" s="48"/>
      <c r="L27" s="48"/>
    </row>
    <row r="29" spans="1:49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3"/>
    </row>
    <row r="30" spans="1:49" x14ac:dyDescent="0.25">
      <c r="B30" s="121" t="s">
        <v>77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49" ht="15" customHeight="1" x14ac:dyDescent="0.25">
      <c r="B31" s="121" t="s">
        <v>78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49" ht="15" customHeight="1" x14ac:dyDescent="0.25">
      <c r="B32" s="121" t="s">
        <v>69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2:12" ht="36.75" customHeight="1" x14ac:dyDescent="0.2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2:12" ht="15" customHeight="1" x14ac:dyDescent="0.25">
      <c r="B34" s="122" t="s">
        <v>79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2:12" x14ac:dyDescent="0.2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zoomScaleNormal="100" workbookViewId="0">
      <selection activeCell="F19" sqref="F1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20" t="s">
        <v>46</v>
      </c>
      <c r="C2" s="120"/>
      <c r="D2" s="120"/>
      <c r="E2" s="120"/>
      <c r="F2" s="120"/>
      <c r="G2" s="120"/>
      <c r="H2" s="120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5" t="s">
        <v>7</v>
      </c>
      <c r="C4" s="45" t="s">
        <v>28</v>
      </c>
      <c r="D4" s="45" t="s">
        <v>63</v>
      </c>
      <c r="E4" s="45" t="s">
        <v>60</v>
      </c>
      <c r="F4" s="45" t="s">
        <v>29</v>
      </c>
      <c r="G4" s="45" t="s">
        <v>30</v>
      </c>
      <c r="H4" s="45" t="s">
        <v>61</v>
      </c>
    </row>
    <row r="5" spans="2:8" x14ac:dyDescent="0.25">
      <c r="B5" s="45">
        <v>1</v>
      </c>
      <c r="C5" s="49">
        <v>2</v>
      </c>
      <c r="D5" s="49">
        <v>3</v>
      </c>
      <c r="E5" s="49">
        <v>4</v>
      </c>
      <c r="F5" s="49">
        <v>5</v>
      </c>
      <c r="G5" s="49" t="s">
        <v>43</v>
      </c>
      <c r="H5" s="49" t="s">
        <v>44</v>
      </c>
    </row>
    <row r="6" spans="2:8" x14ac:dyDescent="0.25">
      <c r="B6" s="10" t="s">
        <v>57</v>
      </c>
      <c r="C6" s="75">
        <f>C7+C9+C11+C13+C16</f>
        <v>2862270.9761762563</v>
      </c>
      <c r="D6" s="75">
        <f>D7+D9+D11+D13+D16</f>
        <v>8721397.7600000016</v>
      </c>
      <c r="E6" s="75"/>
      <c r="F6" s="75">
        <f>F7+F9+F11+F13+F16</f>
        <v>10257275.01</v>
      </c>
      <c r="G6" s="81">
        <f>F6/C6*100</f>
        <v>358.36142333745153</v>
      </c>
      <c r="H6" s="73"/>
    </row>
    <row r="7" spans="2:8" x14ac:dyDescent="0.25">
      <c r="B7" s="10" t="s">
        <v>19</v>
      </c>
      <c r="C7" s="80">
        <f>C8</f>
        <v>2040089.5640055742</v>
      </c>
      <c r="D7" s="80">
        <f>D8</f>
        <v>4655782.6900000004</v>
      </c>
      <c r="E7" s="72"/>
      <c r="F7" s="81">
        <f>F8</f>
        <v>2044769.3800000001</v>
      </c>
      <c r="G7" s="81">
        <f t="shared" ref="G7:G30" si="0">F7/C7*100</f>
        <v>100.22939267358622</v>
      </c>
      <c r="H7" s="73"/>
    </row>
    <row r="8" spans="2:8" x14ac:dyDescent="0.25">
      <c r="B8" s="26" t="s">
        <v>20</v>
      </c>
      <c r="C8" s="72">
        <f>(13707670.33+87737.99-24353.5+1600000)/7.5345</f>
        <v>2040089.5640055742</v>
      </c>
      <c r="D8" s="72">
        <v>4655782.6900000004</v>
      </c>
      <c r="E8" s="72"/>
      <c r="F8" s="73">
        <f>2024639.48+10041.81-3239.03+13327.12</f>
        <v>2044769.3800000001</v>
      </c>
      <c r="G8" s="73">
        <f t="shared" si="0"/>
        <v>100.22939267358622</v>
      </c>
      <c r="H8" s="73"/>
    </row>
    <row r="9" spans="2:8" x14ac:dyDescent="0.25">
      <c r="B9" s="10" t="s">
        <v>25</v>
      </c>
      <c r="C9" s="80">
        <f>(1075653.2+2141917.71)/7.5345</f>
        <v>427045.04744840402</v>
      </c>
      <c r="D9" s="80">
        <f>D10</f>
        <v>175539.62</v>
      </c>
      <c r="E9" s="72"/>
      <c r="F9" s="81">
        <f>F10</f>
        <v>522409.88</v>
      </c>
      <c r="G9" s="81">
        <f t="shared" si="0"/>
        <v>122.33132853814868</v>
      </c>
      <c r="H9" s="73"/>
    </row>
    <row r="10" spans="2:8" x14ac:dyDescent="0.25">
      <c r="B10" s="28" t="s">
        <v>26</v>
      </c>
      <c r="C10" s="72">
        <f>C9</f>
        <v>427045.04744840402</v>
      </c>
      <c r="D10" s="72">
        <v>175539.62</v>
      </c>
      <c r="E10" s="72"/>
      <c r="F10" s="73">
        <f>171925.5+350484.38</f>
        <v>522409.88</v>
      </c>
      <c r="G10" s="73">
        <f t="shared" si="0"/>
        <v>122.33132853814868</v>
      </c>
      <c r="H10" s="73"/>
    </row>
    <row r="11" spans="2:8" x14ac:dyDescent="0.25">
      <c r="B11" s="10" t="s">
        <v>174</v>
      </c>
      <c r="C11" s="80">
        <f>C12</f>
        <v>35065.294312827653</v>
      </c>
      <c r="D11" s="80">
        <f>D12</f>
        <v>33180.699999999997</v>
      </c>
      <c r="E11" s="76"/>
      <c r="F11" s="81">
        <f>F12</f>
        <v>48481.21</v>
      </c>
      <c r="G11" s="81">
        <f t="shared" si="0"/>
        <v>138.25981201664837</v>
      </c>
      <c r="H11" s="73"/>
    </row>
    <row r="12" spans="2:8" x14ac:dyDescent="0.25">
      <c r="B12" s="98" t="s">
        <v>175</v>
      </c>
      <c r="C12" s="72">
        <f>(156861.15+107338.31)/7.5345</f>
        <v>35065.294312827653</v>
      </c>
      <c r="D12" s="72">
        <v>33180.699999999997</v>
      </c>
      <c r="E12" s="76"/>
      <c r="F12" s="73">
        <f>18892.28+29588.93</f>
        <v>48481.21</v>
      </c>
      <c r="G12" s="73">
        <f t="shared" si="0"/>
        <v>138.25981201664837</v>
      </c>
      <c r="H12" s="73"/>
    </row>
    <row r="13" spans="2:8" x14ac:dyDescent="0.25">
      <c r="B13" s="10" t="s">
        <v>176</v>
      </c>
      <c r="C13" s="80">
        <f>SUM(C14:C15)</f>
        <v>358531.4858318402</v>
      </c>
      <c r="D13" s="80">
        <f>D14+D15</f>
        <v>3837690.75</v>
      </c>
      <c r="E13" s="76"/>
      <c r="F13" s="81">
        <f>SUM(F14:F15)</f>
        <v>7623232.4400000004</v>
      </c>
      <c r="G13" s="81">
        <f t="shared" si="0"/>
        <v>2126.2379292332162</v>
      </c>
      <c r="H13" s="73"/>
    </row>
    <row r="14" spans="2:8" x14ac:dyDescent="0.25">
      <c r="B14" s="28" t="s">
        <v>177</v>
      </c>
      <c r="C14" s="72">
        <f>(1930479.49+768373.49)/7.5345</f>
        <v>358199.34700378258</v>
      </c>
      <c r="D14" s="72">
        <v>217078.9</v>
      </c>
      <c r="E14" s="76"/>
      <c r="F14" s="73">
        <f>28243.64+116464.64</f>
        <v>144708.28</v>
      </c>
      <c r="G14" s="73">
        <f t="shared" si="0"/>
        <v>40.398811781885207</v>
      </c>
      <c r="H14" s="73"/>
    </row>
    <row r="15" spans="2:8" x14ac:dyDescent="0.25">
      <c r="B15" s="15" t="s">
        <v>178</v>
      </c>
      <c r="C15" s="72">
        <f>2502.5/7.5345</f>
        <v>332.1388280576017</v>
      </c>
      <c r="D15" s="72">
        <v>3620611.85</v>
      </c>
      <c r="E15" s="76"/>
      <c r="F15" s="73">
        <f>7455715.25+22808.91</f>
        <v>7478524.1600000001</v>
      </c>
      <c r="G15" s="73">
        <f t="shared" si="0"/>
        <v>2251625.9853554447</v>
      </c>
      <c r="H15" s="73"/>
    </row>
    <row r="16" spans="2:8" s="82" customFormat="1" x14ac:dyDescent="0.25">
      <c r="B16" s="10" t="s">
        <v>179</v>
      </c>
      <c r="C16" s="80">
        <f>C17</f>
        <v>1539.5845776096621</v>
      </c>
      <c r="D16" s="80">
        <f>D17</f>
        <v>19204</v>
      </c>
      <c r="E16" s="92"/>
      <c r="F16" s="81">
        <f>F17</f>
        <v>18382.099999999999</v>
      </c>
      <c r="G16" s="81">
        <f t="shared" si="0"/>
        <v>1193.9649349137931</v>
      </c>
      <c r="H16" s="81"/>
    </row>
    <row r="17" spans="2:11" x14ac:dyDescent="0.25">
      <c r="B17" s="28" t="s">
        <v>180</v>
      </c>
      <c r="C17" s="72">
        <f>11600/7.5345</f>
        <v>1539.5845776096621</v>
      </c>
      <c r="D17" s="72">
        <v>19204</v>
      </c>
      <c r="E17" s="76"/>
      <c r="F17" s="73">
        <v>18382.099999999999</v>
      </c>
      <c r="G17" s="73">
        <f t="shared" si="0"/>
        <v>1193.9649349137931</v>
      </c>
      <c r="H17" s="73"/>
    </row>
    <row r="18" spans="2:11" x14ac:dyDescent="0.25">
      <c r="B18" s="28"/>
      <c r="C18" s="72"/>
      <c r="D18" s="72"/>
      <c r="E18" s="76"/>
      <c r="F18" s="73"/>
      <c r="G18" s="73"/>
      <c r="H18" s="73"/>
    </row>
    <row r="19" spans="2:11" ht="15.75" customHeight="1" x14ac:dyDescent="0.25">
      <c r="B19" s="10" t="s">
        <v>58</v>
      </c>
      <c r="C19" s="80">
        <f>C20+C22+C24+C26+C29</f>
        <v>2369442.2549605146</v>
      </c>
      <c r="D19" s="75">
        <f>D20+D22+D24+D26+D29</f>
        <v>8721397.7600000016</v>
      </c>
      <c r="E19" s="76"/>
      <c r="F19" s="81">
        <f>F20+F22+F24+F26+F29</f>
        <v>9743074.959999999</v>
      </c>
      <c r="G19" s="81">
        <f t="shared" si="0"/>
        <v>411.19697851266528</v>
      </c>
      <c r="H19" s="73"/>
    </row>
    <row r="20" spans="2:11" ht="15.75" customHeight="1" x14ac:dyDescent="0.25">
      <c r="B20" s="10" t="s">
        <v>19</v>
      </c>
      <c r="C20" s="80">
        <f>C21</f>
        <v>2095746.295042803</v>
      </c>
      <c r="D20" s="80">
        <f>D21</f>
        <v>4655782.6900000004</v>
      </c>
      <c r="E20" s="72"/>
      <c r="F20" s="81">
        <f>F21</f>
        <v>2087188.8499999999</v>
      </c>
      <c r="G20" s="81">
        <f t="shared" si="0"/>
        <v>99.591675525656669</v>
      </c>
      <c r="H20" s="73"/>
    </row>
    <row r="21" spans="2:11" x14ac:dyDescent="0.25">
      <c r="B21" s="26" t="s">
        <v>20</v>
      </c>
      <c r="C21" s="72">
        <f>(16021378.77-5540.94-3333.42-221848.95-255)/7.5345</f>
        <v>2095746.295042803</v>
      </c>
      <c r="D21" s="72">
        <v>4655782.6900000004</v>
      </c>
      <c r="E21" s="72"/>
      <c r="F21" s="73">
        <f>2096673.99-497.35-211.05-8776.74</f>
        <v>2087188.8499999999</v>
      </c>
      <c r="G21" s="73">
        <f t="shared" si="0"/>
        <v>99.591675525656669</v>
      </c>
      <c r="H21" s="73"/>
    </row>
    <row r="22" spans="2:11" x14ac:dyDescent="0.25">
      <c r="B22" s="10" t="s">
        <v>25</v>
      </c>
      <c r="C22" s="80">
        <f>C23</f>
        <v>56409.448536731048</v>
      </c>
      <c r="D22" s="80">
        <f>D23</f>
        <v>175539.62</v>
      </c>
      <c r="E22" s="72"/>
      <c r="F22" s="81">
        <f>F23</f>
        <v>105011.16</v>
      </c>
      <c r="G22" s="81">
        <f t="shared" si="0"/>
        <v>186.15881332649781</v>
      </c>
      <c r="H22" s="73"/>
    </row>
    <row r="23" spans="2:11" x14ac:dyDescent="0.25">
      <c r="B23" s="28" t="s">
        <v>26</v>
      </c>
      <c r="C23" s="72">
        <f>(722331.68-45823.06-251491.63)/7.5345</f>
        <v>56409.448536731048</v>
      </c>
      <c r="D23" s="72">
        <v>175539.62</v>
      </c>
      <c r="E23" s="72"/>
      <c r="F23" s="73">
        <f>172165.6-67085.16-69.28</f>
        <v>105011.16</v>
      </c>
      <c r="G23" s="73">
        <f t="shared" si="0"/>
        <v>186.15881332649781</v>
      </c>
      <c r="H23" s="73"/>
    </row>
    <row r="24" spans="2:11" x14ac:dyDescent="0.25">
      <c r="B24" s="10" t="s">
        <v>174</v>
      </c>
      <c r="C24" s="80">
        <f>C25</f>
        <v>11480.947640852079</v>
      </c>
      <c r="D24" s="80">
        <f>D25</f>
        <v>33180.699999999997</v>
      </c>
      <c r="E24" s="76"/>
      <c r="F24" s="81">
        <f>F25</f>
        <v>17700.91</v>
      </c>
      <c r="G24" s="81">
        <f t="shared" si="0"/>
        <v>154.17638468287879</v>
      </c>
      <c r="H24" s="73"/>
    </row>
    <row r="25" spans="2:11" x14ac:dyDescent="0.25">
      <c r="B25" s="98" t="s">
        <v>175</v>
      </c>
      <c r="C25" s="72">
        <f>86503.2/7.5345</f>
        <v>11480.947640852079</v>
      </c>
      <c r="D25" s="72">
        <v>33180.699999999997</v>
      </c>
      <c r="E25" s="76"/>
      <c r="F25" s="73">
        <v>17700.91</v>
      </c>
      <c r="G25" s="73">
        <f t="shared" si="0"/>
        <v>154.17638468287879</v>
      </c>
      <c r="H25" s="73"/>
    </row>
    <row r="26" spans="2:11" x14ac:dyDescent="0.25">
      <c r="B26" s="10" t="s">
        <v>176</v>
      </c>
      <c r="C26" s="80">
        <f>SUM(C27:C28)</f>
        <v>204265.97916251907</v>
      </c>
      <c r="D26" s="80">
        <f>D27+D28</f>
        <v>3837690.75</v>
      </c>
      <c r="E26" s="76"/>
      <c r="F26" s="81">
        <f>SUM(F27:F28)</f>
        <v>7514791.9400000004</v>
      </c>
      <c r="G26" s="81">
        <f t="shared" si="0"/>
        <v>3678.9248854901316</v>
      </c>
      <c r="H26" s="73"/>
    </row>
    <row r="27" spans="2:11" x14ac:dyDescent="0.25">
      <c r="B27" s="28" t="s">
        <v>177</v>
      </c>
      <c r="C27" s="72">
        <f>1359393.77/7.5345</f>
        <v>180422.55889574622</v>
      </c>
      <c r="D27" s="72">
        <v>217078.9</v>
      </c>
      <c r="E27" s="76"/>
      <c r="F27" s="73">
        <v>162757.04</v>
      </c>
      <c r="G27" s="73">
        <f t="shared" si="0"/>
        <v>90.208808142470758</v>
      </c>
      <c r="H27" s="73"/>
    </row>
    <row r="28" spans="2:11" x14ac:dyDescent="0.25">
      <c r="B28" s="15" t="s">
        <v>178</v>
      </c>
      <c r="C28" s="72">
        <f>179648.25/7.5345</f>
        <v>23843.420266772842</v>
      </c>
      <c r="D28" s="72">
        <v>3620611.85</v>
      </c>
      <c r="E28" s="76"/>
      <c r="F28" s="73">
        <v>7352034.9000000004</v>
      </c>
      <c r="G28" s="73">
        <f t="shared" si="0"/>
        <v>30834.648795103771</v>
      </c>
      <c r="H28" s="73"/>
    </row>
    <row r="29" spans="2:11" x14ac:dyDescent="0.25">
      <c r="B29" s="10" t="s">
        <v>179</v>
      </c>
      <c r="C29" s="80">
        <f>C30</f>
        <v>1539.5845776096621</v>
      </c>
      <c r="D29" s="80">
        <f>D30</f>
        <v>19204</v>
      </c>
      <c r="E29" s="76"/>
      <c r="F29" s="81">
        <f>F30</f>
        <v>18382.099999999999</v>
      </c>
      <c r="G29" s="81">
        <f t="shared" si="0"/>
        <v>1193.9649349137931</v>
      </c>
      <c r="H29" s="73"/>
    </row>
    <row r="30" spans="2:11" ht="15" customHeight="1" x14ac:dyDescent="0.25">
      <c r="B30" s="28" t="s">
        <v>180</v>
      </c>
      <c r="C30" s="72">
        <f>11600/7.5345</f>
        <v>1539.5845776096621</v>
      </c>
      <c r="D30" s="72">
        <v>19204</v>
      </c>
      <c r="E30" s="76"/>
      <c r="F30" s="73">
        <v>18382.099999999999</v>
      </c>
      <c r="G30" s="73">
        <f t="shared" si="0"/>
        <v>1193.9649349137931</v>
      </c>
      <c r="H30" s="73"/>
      <c r="I30" s="39"/>
      <c r="J30" s="39"/>
      <c r="K30" s="39"/>
    </row>
    <row r="31" spans="2:11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2:11" x14ac:dyDescent="0.25">
      <c r="B32" s="39"/>
      <c r="C32" s="77"/>
      <c r="D32" s="39"/>
      <c r="E32" s="39"/>
      <c r="F32" s="77"/>
      <c r="G32" s="39"/>
      <c r="H32" s="39"/>
      <c r="I32" s="39"/>
      <c r="J32" s="39"/>
      <c r="K32" s="39"/>
    </row>
    <row r="33" spans="3:6" x14ac:dyDescent="0.25">
      <c r="C33" s="78"/>
      <c r="F33" s="78"/>
    </row>
    <row r="34" spans="3:6" x14ac:dyDescent="0.25">
      <c r="C34" s="78"/>
      <c r="F34" s="78"/>
    </row>
    <row r="35" spans="3:6" x14ac:dyDescent="0.25">
      <c r="C35" s="78"/>
      <c r="F35" s="78"/>
    </row>
    <row r="36" spans="3:6" x14ac:dyDescent="0.25">
      <c r="C36" s="78"/>
      <c r="F36" s="78"/>
    </row>
    <row r="37" spans="3:6" x14ac:dyDescent="0.25">
      <c r="F37" s="78"/>
    </row>
    <row r="38" spans="3:6" x14ac:dyDescent="0.25">
      <c r="F38" s="78"/>
    </row>
    <row r="39" spans="3:6" x14ac:dyDescent="0.25">
      <c r="F39" s="78"/>
    </row>
    <row r="40" spans="3:6" x14ac:dyDescent="0.25">
      <c r="F40" s="78"/>
    </row>
    <row r="41" spans="3:6" x14ac:dyDescent="0.25">
      <c r="F41" s="78"/>
    </row>
    <row r="42" spans="3:6" x14ac:dyDescent="0.25">
      <c r="F42" s="78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1"/>
  <sheetViews>
    <sheetView topLeftCell="A109" zoomScale="90" zoomScaleNormal="90" workbookViewId="0">
      <selection activeCell="H61" sqref="H6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12.140625" customWidth="1"/>
    <col min="6" max="6" width="47" customWidth="1"/>
    <col min="7" max="10" width="25.28515625" style="78" customWidth="1"/>
    <col min="11" max="12" width="15.7109375" style="78" customWidth="1"/>
  </cols>
  <sheetData>
    <row r="1" spans="2:12" ht="18" x14ac:dyDescent="0.25">
      <c r="B1" s="3"/>
      <c r="C1" s="3"/>
      <c r="D1" s="3"/>
      <c r="E1" s="19"/>
      <c r="F1" s="3"/>
      <c r="G1" s="68"/>
      <c r="H1" s="68"/>
      <c r="I1" s="68"/>
      <c r="J1" s="68"/>
      <c r="K1" s="68"/>
      <c r="L1" s="68"/>
    </row>
    <row r="2" spans="2:12" ht="15.75" customHeight="1" x14ac:dyDescent="0.25">
      <c r="B2" s="120" t="s">
        <v>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8" x14ac:dyDescent="0.25">
      <c r="B3" s="3"/>
      <c r="C3" s="3"/>
      <c r="D3" s="3"/>
      <c r="E3" s="19"/>
      <c r="F3" s="3"/>
      <c r="G3" s="68"/>
      <c r="H3" s="68"/>
      <c r="I3" s="68"/>
      <c r="J3" s="69"/>
      <c r="K3" s="69"/>
      <c r="L3" s="69"/>
    </row>
    <row r="4" spans="2:12" ht="15.75" customHeight="1" x14ac:dyDescent="0.25">
      <c r="B4" s="120" t="s">
        <v>66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2:12" ht="18" x14ac:dyDescent="0.25">
      <c r="B5" s="3"/>
      <c r="C5" s="3"/>
      <c r="D5" s="3"/>
      <c r="E5" s="19"/>
      <c r="F5" s="3"/>
      <c r="G5" s="68"/>
      <c r="H5" s="68"/>
      <c r="I5" s="68"/>
      <c r="J5" s="69"/>
      <c r="K5" s="69"/>
      <c r="L5" s="69"/>
    </row>
    <row r="6" spans="2:12" ht="15.75" customHeight="1" x14ac:dyDescent="0.25">
      <c r="B6" s="120" t="s">
        <v>45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2:12" ht="18" x14ac:dyDescent="0.25">
      <c r="B7" s="3"/>
      <c r="C7" s="3"/>
      <c r="D7" s="3"/>
      <c r="E7" s="19"/>
      <c r="F7" s="3"/>
      <c r="G7" s="68"/>
      <c r="H7" s="68"/>
      <c r="I7" s="68"/>
      <c r="J7" s="69"/>
      <c r="K7" s="69"/>
      <c r="L7" s="69"/>
    </row>
    <row r="8" spans="2:12" ht="45" customHeight="1" x14ac:dyDescent="0.25">
      <c r="B8" s="147" t="s">
        <v>7</v>
      </c>
      <c r="C8" s="148"/>
      <c r="D8" s="148"/>
      <c r="E8" s="148"/>
      <c r="F8" s="149"/>
      <c r="G8" s="70" t="s">
        <v>28</v>
      </c>
      <c r="H8" s="70" t="s">
        <v>63</v>
      </c>
      <c r="I8" s="70" t="s">
        <v>60</v>
      </c>
      <c r="J8" s="70" t="s">
        <v>29</v>
      </c>
      <c r="K8" s="70" t="s">
        <v>30</v>
      </c>
      <c r="L8" s="70" t="s">
        <v>61</v>
      </c>
    </row>
    <row r="9" spans="2:12" x14ac:dyDescent="0.25">
      <c r="B9" s="144">
        <v>1</v>
      </c>
      <c r="C9" s="145"/>
      <c r="D9" s="145"/>
      <c r="E9" s="145"/>
      <c r="F9" s="146"/>
      <c r="G9" s="71">
        <v>2</v>
      </c>
      <c r="H9" s="71">
        <v>3</v>
      </c>
      <c r="I9" s="71">
        <v>4</v>
      </c>
      <c r="J9" s="71">
        <v>5</v>
      </c>
      <c r="K9" s="71" t="s">
        <v>43</v>
      </c>
      <c r="L9" s="71" t="s">
        <v>44</v>
      </c>
    </row>
    <row r="10" spans="2:12" x14ac:dyDescent="0.25">
      <c r="B10" s="10"/>
      <c r="C10" s="10"/>
      <c r="D10" s="10"/>
      <c r="E10" s="10"/>
      <c r="F10" s="10" t="s">
        <v>59</v>
      </c>
      <c r="G10" s="72"/>
      <c r="H10" s="72"/>
      <c r="I10" s="72"/>
      <c r="J10" s="73"/>
      <c r="K10" s="73"/>
      <c r="L10" s="73"/>
    </row>
    <row r="11" spans="2:12" x14ac:dyDescent="0.25">
      <c r="B11" s="10">
        <v>6</v>
      </c>
      <c r="C11" s="10"/>
      <c r="D11" s="10"/>
      <c r="E11" s="10"/>
      <c r="F11" s="10" t="s">
        <v>3</v>
      </c>
      <c r="G11" s="74">
        <f>G12+G24+G28+G31+G37+G41</f>
        <v>2862270.9761762558</v>
      </c>
      <c r="H11" s="74">
        <f>H12+H24+H28+H31+H37+H41</f>
        <v>8721397.7599999998</v>
      </c>
      <c r="I11" s="74"/>
      <c r="J11" s="74">
        <f>J12+J24+J28+J31+J37+J41</f>
        <v>10257275.010000002</v>
      </c>
      <c r="K11" s="81">
        <f>J11/G11*100</f>
        <v>358.36142333745164</v>
      </c>
      <c r="L11" s="73"/>
    </row>
    <row r="12" spans="2:12" s="82" customFormat="1" ht="25.5" x14ac:dyDescent="0.25">
      <c r="B12" s="10"/>
      <c r="C12" s="10">
        <v>63</v>
      </c>
      <c r="D12" s="10"/>
      <c r="E12" s="10"/>
      <c r="F12" s="10" t="s">
        <v>15</v>
      </c>
      <c r="G12" s="80">
        <f>G13+G16+G18+G20</f>
        <v>358531.48583184014</v>
      </c>
      <c r="H12" s="80">
        <f>H13+H16+H18+H20</f>
        <v>3837690.75</v>
      </c>
      <c r="I12" s="80"/>
      <c r="J12" s="81">
        <f>J13+J16+J18+J20</f>
        <v>7623232.4400000004</v>
      </c>
      <c r="K12" s="81">
        <f t="shared" ref="K12:K43" si="0">J12/G12*100</f>
        <v>2126.2379292332162</v>
      </c>
      <c r="L12" s="81"/>
    </row>
    <row r="13" spans="2:12" s="82" customFormat="1" ht="25.5" x14ac:dyDescent="0.25">
      <c r="B13" s="22"/>
      <c r="C13" s="22"/>
      <c r="D13" s="22">
        <v>632</v>
      </c>
      <c r="E13" s="22"/>
      <c r="F13" s="79" t="s">
        <v>81</v>
      </c>
      <c r="G13" s="80">
        <f>G15</f>
        <v>332.1388280576017</v>
      </c>
      <c r="H13" s="80">
        <f>H15</f>
        <v>3620611.85</v>
      </c>
      <c r="I13" s="80"/>
      <c r="J13" s="81">
        <f>SUM(J14:J15)</f>
        <v>7478524.1600000001</v>
      </c>
      <c r="K13" s="81">
        <f t="shared" si="0"/>
        <v>2251625.9853554447</v>
      </c>
      <c r="L13" s="81"/>
    </row>
    <row r="14" spans="2:12" s="85" customFormat="1" x14ac:dyDescent="0.25">
      <c r="B14" s="11"/>
      <c r="C14" s="11"/>
      <c r="D14" s="11"/>
      <c r="E14" s="11">
        <v>6323</v>
      </c>
      <c r="F14" s="29" t="s">
        <v>107</v>
      </c>
      <c r="G14" s="72">
        <v>0</v>
      </c>
      <c r="H14" s="72">
        <v>0</v>
      </c>
      <c r="I14" s="72"/>
      <c r="J14" s="84">
        <v>7380.42</v>
      </c>
      <c r="K14" s="73"/>
      <c r="L14" s="84"/>
    </row>
    <row r="15" spans="2:12" ht="14.25" customHeight="1" x14ac:dyDescent="0.25">
      <c r="B15" s="11"/>
      <c r="C15" s="11"/>
      <c r="D15" s="11"/>
      <c r="E15" s="11">
        <v>6324</v>
      </c>
      <c r="F15" s="11" t="s">
        <v>82</v>
      </c>
      <c r="G15" s="72">
        <f>2502.5/7.5345</f>
        <v>332.1388280576017</v>
      </c>
      <c r="H15" s="72">
        <v>3620611.85</v>
      </c>
      <c r="I15" s="72"/>
      <c r="J15" s="73">
        <f>7448334.83+22808.91</f>
        <v>7471143.7400000002</v>
      </c>
      <c r="K15" s="73">
        <f t="shared" si="0"/>
        <v>2249403.8964647353</v>
      </c>
      <c r="L15" s="73"/>
    </row>
    <row r="16" spans="2:12" s="82" customFormat="1" x14ac:dyDescent="0.25">
      <c r="B16" s="22"/>
      <c r="C16" s="22"/>
      <c r="D16" s="22">
        <v>634</v>
      </c>
      <c r="E16" s="22"/>
      <c r="F16" s="22" t="s">
        <v>88</v>
      </c>
      <c r="G16" s="80">
        <f>G17</f>
        <v>3455.6825270422719</v>
      </c>
      <c r="H16" s="80">
        <f>H17</f>
        <v>1787.91</v>
      </c>
      <c r="I16" s="80"/>
      <c r="J16" s="81">
        <f>J17</f>
        <v>4251.7</v>
      </c>
      <c r="K16" s="81">
        <f t="shared" si="0"/>
        <v>123.03502902041876</v>
      </c>
      <c r="L16" s="81"/>
    </row>
    <row r="17" spans="2:12" x14ac:dyDescent="0.25">
      <c r="B17" s="11"/>
      <c r="C17" s="11"/>
      <c r="D17" s="11"/>
      <c r="E17" s="11">
        <v>6341</v>
      </c>
      <c r="F17" s="11" t="s">
        <v>89</v>
      </c>
      <c r="G17" s="72">
        <f>26036.84/7.5345</f>
        <v>3455.6825270422719</v>
      </c>
      <c r="H17" s="72">
        <v>1787.91</v>
      </c>
      <c r="I17" s="72"/>
      <c r="J17" s="73">
        <v>4251.7</v>
      </c>
      <c r="K17" s="73">
        <f t="shared" si="0"/>
        <v>123.03502902041876</v>
      </c>
      <c r="L17" s="73"/>
    </row>
    <row r="18" spans="2:12" s="82" customFormat="1" x14ac:dyDescent="0.25">
      <c r="B18" s="22"/>
      <c r="C18" s="22"/>
      <c r="D18" s="22">
        <v>638</v>
      </c>
      <c r="E18" s="22"/>
      <c r="F18" s="22" t="s">
        <v>90</v>
      </c>
      <c r="G18" s="80">
        <f>G19</f>
        <v>20045.919437255292</v>
      </c>
      <c r="H18" s="80">
        <f>H19</f>
        <v>10131.26</v>
      </c>
      <c r="I18" s="80"/>
      <c r="J18" s="81">
        <f>J19</f>
        <v>24092.99</v>
      </c>
      <c r="K18" s="81">
        <f t="shared" si="0"/>
        <v>120.18899943907407</v>
      </c>
      <c r="L18" s="81"/>
    </row>
    <row r="19" spans="2:12" x14ac:dyDescent="0.25">
      <c r="B19" s="11"/>
      <c r="C19" s="11"/>
      <c r="D19" s="11"/>
      <c r="E19" s="11">
        <v>6381</v>
      </c>
      <c r="F19" s="11" t="s">
        <v>91</v>
      </c>
      <c r="G19" s="72">
        <f>151035.98/7.5345</f>
        <v>20045.919437255292</v>
      </c>
      <c r="H19" s="72">
        <v>10131.26</v>
      </c>
      <c r="I19" s="72"/>
      <c r="J19" s="73">
        <v>24092.99</v>
      </c>
      <c r="K19" s="73">
        <f t="shared" si="0"/>
        <v>120.18899943907407</v>
      </c>
      <c r="L19" s="73"/>
    </row>
    <row r="20" spans="2:12" s="82" customFormat="1" ht="25.5" x14ac:dyDescent="0.25">
      <c r="B20" s="22"/>
      <c r="C20" s="22"/>
      <c r="D20" s="22">
        <v>639</v>
      </c>
      <c r="E20" s="22"/>
      <c r="F20" s="79" t="s">
        <v>83</v>
      </c>
      <c r="G20" s="80">
        <f>G21+G22+G23</f>
        <v>334697.74503948499</v>
      </c>
      <c r="H20" s="80">
        <f>H21+H22+H23</f>
        <v>205159.73</v>
      </c>
      <c r="I20" s="80"/>
      <c r="J20" s="81">
        <f>J21+J23</f>
        <v>116363.59</v>
      </c>
      <c r="K20" s="81">
        <f t="shared" si="0"/>
        <v>34.766768442456147</v>
      </c>
      <c r="L20" s="81"/>
    </row>
    <row r="21" spans="2:12" ht="25.5" x14ac:dyDescent="0.25">
      <c r="B21" s="11"/>
      <c r="C21" s="11"/>
      <c r="D21" s="11"/>
      <c r="E21" s="11">
        <v>6391</v>
      </c>
      <c r="F21" s="29" t="s">
        <v>84</v>
      </c>
      <c r="G21" s="72">
        <f>(653635.23+438483.54)/7.5345</f>
        <v>144949.07027672706</v>
      </c>
      <c r="H21" s="72">
        <v>72979.75</v>
      </c>
      <c r="I21" s="72"/>
      <c r="J21" s="73">
        <f>16729.5+88119.95</f>
        <v>104849.45</v>
      </c>
      <c r="K21" s="73">
        <f t="shared" si="0"/>
        <v>72.335372555221255</v>
      </c>
      <c r="L21" s="73"/>
    </row>
    <row r="22" spans="2:12" ht="25.5" x14ac:dyDescent="0.25">
      <c r="B22" s="11"/>
      <c r="C22" s="11"/>
      <c r="D22" s="11"/>
      <c r="E22" s="11">
        <v>6392</v>
      </c>
      <c r="F22" s="29" t="s">
        <v>85</v>
      </c>
      <c r="G22" s="72">
        <f>556500/7.5345</f>
        <v>73860.242882739389</v>
      </c>
      <c r="H22" s="72">
        <v>79633.69</v>
      </c>
      <c r="I22" s="72"/>
      <c r="J22" s="73"/>
      <c r="K22" s="73">
        <f t="shared" si="0"/>
        <v>0</v>
      </c>
      <c r="L22" s="73"/>
    </row>
    <row r="23" spans="2:12" ht="25.5" x14ac:dyDescent="0.25">
      <c r="B23" s="11"/>
      <c r="C23" s="11"/>
      <c r="D23" s="11"/>
      <c r="E23" s="11">
        <v>6393</v>
      </c>
      <c r="F23" s="29" t="s">
        <v>86</v>
      </c>
      <c r="G23" s="72">
        <f>(114738.26+758423.13)/7.5345</f>
        <v>115888.43188001857</v>
      </c>
      <c r="H23" s="72">
        <v>52546.29</v>
      </c>
      <c r="I23" s="72"/>
      <c r="J23" s="73">
        <v>11514.14</v>
      </c>
      <c r="K23" s="73">
        <f t="shared" si="0"/>
        <v>9.9355387014993877</v>
      </c>
      <c r="L23" s="73"/>
    </row>
    <row r="24" spans="2:12" s="82" customFormat="1" x14ac:dyDescent="0.25">
      <c r="B24" s="22"/>
      <c r="C24" s="22">
        <v>64</v>
      </c>
      <c r="D24" s="22"/>
      <c r="E24" s="22"/>
      <c r="F24" s="79" t="s">
        <v>87</v>
      </c>
      <c r="G24" s="80">
        <f>G25</f>
        <v>42.025350056407198</v>
      </c>
      <c r="H24" s="80">
        <f>H25</f>
        <v>145.99</v>
      </c>
      <c r="I24" s="80"/>
      <c r="J24" s="81">
        <f>J25</f>
        <v>73.23</v>
      </c>
      <c r="K24" s="81">
        <f t="shared" si="0"/>
        <v>174.25196911318847</v>
      </c>
      <c r="L24" s="81"/>
    </row>
    <row r="25" spans="2:12" s="82" customFormat="1" x14ac:dyDescent="0.25">
      <c r="B25" s="22"/>
      <c r="C25" s="22"/>
      <c r="D25" s="22">
        <v>641</v>
      </c>
      <c r="E25" s="22"/>
      <c r="F25" s="79" t="s">
        <v>92</v>
      </c>
      <c r="G25" s="80">
        <f>G26+G27</f>
        <v>42.025350056407198</v>
      </c>
      <c r="H25" s="80">
        <f>H26+H27</f>
        <v>145.99</v>
      </c>
      <c r="I25" s="80"/>
      <c r="J25" s="81">
        <f>SUM(J26:J27)</f>
        <v>73.23</v>
      </c>
      <c r="K25" s="81">
        <f t="shared" si="0"/>
        <v>174.25196911318847</v>
      </c>
      <c r="L25" s="81"/>
    </row>
    <row r="26" spans="2:12" x14ac:dyDescent="0.25">
      <c r="B26" s="11"/>
      <c r="C26" s="11"/>
      <c r="D26" s="11"/>
      <c r="E26" s="11">
        <v>6413</v>
      </c>
      <c r="F26" s="29" t="s">
        <v>93</v>
      </c>
      <c r="G26" s="72">
        <f>20.42/7.5345</f>
        <v>2.710199747826664</v>
      </c>
      <c r="H26" s="72">
        <v>13.27</v>
      </c>
      <c r="I26" s="72"/>
      <c r="J26" s="73">
        <v>73.11</v>
      </c>
      <c r="K26" s="73">
        <f t="shared" si="0"/>
        <v>2697.5871449559259</v>
      </c>
      <c r="L26" s="73"/>
    </row>
    <row r="27" spans="2:12" ht="25.5" x14ac:dyDescent="0.25">
      <c r="B27" s="11"/>
      <c r="C27" s="11"/>
      <c r="D27" s="12"/>
      <c r="E27" s="12">
        <v>6415</v>
      </c>
      <c r="F27" s="29" t="s">
        <v>94</v>
      </c>
      <c r="G27" s="72">
        <f>296.22/7.5345</f>
        <v>39.315150308580534</v>
      </c>
      <c r="H27" s="72">
        <v>132.72</v>
      </c>
      <c r="I27" s="72"/>
      <c r="J27" s="73">
        <v>0.12</v>
      </c>
      <c r="K27" s="73">
        <f t="shared" si="0"/>
        <v>0.30522584565525618</v>
      </c>
      <c r="L27" s="73"/>
    </row>
    <row r="28" spans="2:12" s="82" customFormat="1" ht="38.25" x14ac:dyDescent="0.25">
      <c r="B28" s="22"/>
      <c r="C28" s="22">
        <v>65</v>
      </c>
      <c r="D28" s="83"/>
      <c r="E28" s="83"/>
      <c r="F28" s="79" t="s">
        <v>95</v>
      </c>
      <c r="G28" s="80">
        <f>G29</f>
        <v>35065.294312827653</v>
      </c>
      <c r="H28" s="80">
        <f>H29</f>
        <v>33180.699999999997</v>
      </c>
      <c r="I28" s="80"/>
      <c r="J28" s="81">
        <f>J30</f>
        <v>48481.21</v>
      </c>
      <c r="K28" s="81">
        <f t="shared" si="0"/>
        <v>138.25981201664837</v>
      </c>
      <c r="L28" s="81"/>
    </row>
    <row r="29" spans="2:12" s="82" customFormat="1" x14ac:dyDescent="0.25">
      <c r="B29" s="22"/>
      <c r="C29" s="22"/>
      <c r="D29" s="83">
        <v>652</v>
      </c>
      <c r="E29" s="83"/>
      <c r="F29" s="79" t="s">
        <v>96</v>
      </c>
      <c r="G29" s="80">
        <f>G30</f>
        <v>35065.294312827653</v>
      </c>
      <c r="H29" s="80">
        <f>H30</f>
        <v>33180.699999999997</v>
      </c>
      <c r="I29" s="80"/>
      <c r="J29" s="81">
        <f>J30</f>
        <v>48481.21</v>
      </c>
      <c r="K29" s="81">
        <f t="shared" si="0"/>
        <v>138.25981201664837</v>
      </c>
      <c r="L29" s="81"/>
    </row>
    <row r="30" spans="2:12" x14ac:dyDescent="0.25">
      <c r="B30" s="11"/>
      <c r="C30" s="11"/>
      <c r="D30" s="12"/>
      <c r="E30" s="12">
        <v>6526</v>
      </c>
      <c r="F30" s="29" t="s">
        <v>97</v>
      </c>
      <c r="G30" s="72">
        <f>(156861.15+107338.31)/7.5345</f>
        <v>35065.294312827653</v>
      </c>
      <c r="H30" s="72">
        <v>33180.699999999997</v>
      </c>
      <c r="I30" s="72"/>
      <c r="J30" s="73">
        <f>18892.28+29588.93</f>
        <v>48481.21</v>
      </c>
      <c r="K30" s="73">
        <f t="shared" si="0"/>
        <v>138.25981201664837</v>
      </c>
      <c r="L30" s="73"/>
    </row>
    <row r="31" spans="2:12" s="82" customFormat="1" ht="25.5" x14ac:dyDescent="0.25">
      <c r="B31" s="22"/>
      <c r="C31" s="22">
        <v>66</v>
      </c>
      <c r="D31" s="83"/>
      <c r="E31" s="83"/>
      <c r="F31" s="10" t="s">
        <v>18</v>
      </c>
      <c r="G31" s="80">
        <f>G32+G35</f>
        <v>428183.25569049042</v>
      </c>
      <c r="H31" s="80">
        <f>H32+H35</f>
        <v>193934.02</v>
      </c>
      <c r="I31" s="80"/>
      <c r="J31" s="81">
        <f>J32+J35</f>
        <v>540715.75</v>
      </c>
      <c r="K31" s="81">
        <f t="shared" si="0"/>
        <v>126.28138602198237</v>
      </c>
      <c r="L31" s="81"/>
    </row>
    <row r="32" spans="2:12" s="82" customFormat="1" ht="25.5" x14ac:dyDescent="0.25">
      <c r="B32" s="22"/>
      <c r="C32" s="22"/>
      <c r="D32" s="83">
        <v>661</v>
      </c>
      <c r="E32" s="83"/>
      <c r="F32" s="10" t="s">
        <v>37</v>
      </c>
      <c r="G32" s="80">
        <f>G33+G34</f>
        <v>426643.67111288075</v>
      </c>
      <c r="H32" s="80">
        <f>H33+H34</f>
        <v>174730.02</v>
      </c>
      <c r="I32" s="80"/>
      <c r="J32" s="81">
        <f>SUM(J33:J34)</f>
        <v>522333.65</v>
      </c>
      <c r="K32" s="81">
        <f t="shared" si="0"/>
        <v>122.42854760683927</v>
      </c>
      <c r="L32" s="81"/>
    </row>
    <row r="33" spans="2:12" x14ac:dyDescent="0.25">
      <c r="B33" s="11"/>
      <c r="C33" s="22"/>
      <c r="D33" s="12"/>
      <c r="E33" s="12">
        <v>6614</v>
      </c>
      <c r="F33" s="15" t="s">
        <v>38</v>
      </c>
      <c r="G33" s="72">
        <f>17412.13/7.5345</f>
        <v>2310.986794080563</v>
      </c>
      <c r="H33" s="72">
        <v>6636.12</v>
      </c>
      <c r="I33" s="72"/>
      <c r="J33" s="73">
        <v>2703.52</v>
      </c>
      <c r="K33" s="73">
        <f t="shared" si="0"/>
        <v>116.98552354019868</v>
      </c>
      <c r="L33" s="73"/>
    </row>
    <row r="34" spans="2:12" x14ac:dyDescent="0.25">
      <c r="B34" s="11"/>
      <c r="C34" s="11"/>
      <c r="D34" s="12"/>
      <c r="E34" s="12">
        <v>6615</v>
      </c>
      <c r="F34" s="15" t="s">
        <v>98</v>
      </c>
      <c r="G34" s="72">
        <f>(1055216.9+2141917.71)/7.5345</f>
        <v>424332.68431880017</v>
      </c>
      <c r="H34" s="72">
        <f>231455.31-63361.41</f>
        <v>168093.9</v>
      </c>
      <c r="I34" s="72"/>
      <c r="J34" s="73">
        <f>350484.38+169145.75</f>
        <v>519630.13</v>
      </c>
      <c r="K34" s="73">
        <f t="shared" si="0"/>
        <v>122.45819122658087</v>
      </c>
      <c r="L34" s="73"/>
    </row>
    <row r="35" spans="2:12" s="82" customFormat="1" ht="25.5" x14ac:dyDescent="0.25">
      <c r="B35" s="22"/>
      <c r="C35" s="22"/>
      <c r="D35" s="83">
        <v>663</v>
      </c>
      <c r="E35" s="83"/>
      <c r="F35" s="10" t="s">
        <v>99</v>
      </c>
      <c r="G35" s="75">
        <f>G36</f>
        <v>1539.5845776096621</v>
      </c>
      <c r="H35" s="75">
        <f>H36</f>
        <v>19204</v>
      </c>
      <c r="I35" s="75"/>
      <c r="J35" s="75">
        <f>J36</f>
        <v>18382.099999999999</v>
      </c>
      <c r="K35" s="73">
        <f t="shared" si="0"/>
        <v>1193.9649349137931</v>
      </c>
      <c r="L35" s="81"/>
    </row>
    <row r="36" spans="2:12" ht="30.75" customHeight="1" x14ac:dyDescent="0.25">
      <c r="B36" s="11"/>
      <c r="C36" s="11"/>
      <c r="D36" s="12"/>
      <c r="E36" s="12">
        <v>6632</v>
      </c>
      <c r="F36" s="29" t="s">
        <v>100</v>
      </c>
      <c r="G36" s="72">
        <f>11600/7.5345</f>
        <v>1539.5845776096621</v>
      </c>
      <c r="H36" s="72">
        <f>20000-796</f>
        <v>19204</v>
      </c>
      <c r="I36" s="72"/>
      <c r="J36" s="73">
        <v>18382.099999999999</v>
      </c>
      <c r="K36" s="73">
        <f t="shared" si="0"/>
        <v>1193.9649349137931</v>
      </c>
      <c r="L36" s="73"/>
    </row>
    <row r="37" spans="2:12" s="82" customFormat="1" ht="25.5" x14ac:dyDescent="0.25">
      <c r="B37" s="22"/>
      <c r="C37" s="22">
        <v>67</v>
      </c>
      <c r="D37" s="22"/>
      <c r="E37" s="22"/>
      <c r="F37" s="79" t="s">
        <v>101</v>
      </c>
      <c r="G37" s="80">
        <f>G38</f>
        <v>2040089.5640055744</v>
      </c>
      <c r="H37" s="80">
        <f>H38</f>
        <v>4655782.6900000004</v>
      </c>
      <c r="I37" s="80"/>
      <c r="J37" s="81">
        <f>J38</f>
        <v>2044769.3800000001</v>
      </c>
      <c r="K37" s="81">
        <f t="shared" si="0"/>
        <v>100.22939267358622</v>
      </c>
      <c r="L37" s="81"/>
    </row>
    <row r="38" spans="2:12" s="82" customFormat="1" ht="25.5" x14ac:dyDescent="0.25">
      <c r="B38" s="22"/>
      <c r="C38" s="22"/>
      <c r="D38" s="22">
        <v>671</v>
      </c>
      <c r="E38" s="22"/>
      <c r="F38" s="79" t="s">
        <v>102</v>
      </c>
      <c r="G38" s="80">
        <f>SUM(G39:G40)</f>
        <v>2040089.5640055744</v>
      </c>
      <c r="H38" s="80">
        <f>H39+H40</f>
        <v>4655782.6900000004</v>
      </c>
      <c r="I38" s="80"/>
      <c r="J38" s="81">
        <f>J39+J40</f>
        <v>2044769.3800000001</v>
      </c>
      <c r="K38" s="81">
        <f t="shared" si="0"/>
        <v>100.22939267358622</v>
      </c>
      <c r="L38" s="81"/>
    </row>
    <row r="39" spans="2:12" ht="25.5" x14ac:dyDescent="0.25">
      <c r="B39" s="11"/>
      <c r="C39" s="11"/>
      <c r="D39" s="11"/>
      <c r="E39" s="11">
        <v>6711</v>
      </c>
      <c r="F39" s="29" t="s">
        <v>103</v>
      </c>
      <c r="G39" s="72">
        <f>(13664997.21+87737.99-24353.5)/7.5345</f>
        <v>1822069.3742119584</v>
      </c>
      <c r="H39" s="72">
        <f>180287.36+4104070.55</f>
        <v>4284357.91</v>
      </c>
      <c r="I39" s="72"/>
      <c r="J39" s="73">
        <f>2007901.48+10041.81-3239.03+13327.12</f>
        <v>2028031.3800000001</v>
      </c>
      <c r="K39" s="73">
        <f t="shared" si="0"/>
        <v>111.30374115843532</v>
      </c>
      <c r="L39" s="73"/>
    </row>
    <row r="40" spans="2:12" ht="25.5" x14ac:dyDescent="0.25">
      <c r="B40" s="11"/>
      <c r="C40" s="11"/>
      <c r="D40" s="11"/>
      <c r="E40" s="11">
        <v>6712</v>
      </c>
      <c r="F40" s="29" t="s">
        <v>104</v>
      </c>
      <c r="G40" s="72">
        <f>(42673.12+1600000)/7.5345</f>
        <v>218020.18979361604</v>
      </c>
      <c r="H40" s="72">
        <v>371424.78</v>
      </c>
      <c r="I40" s="72"/>
      <c r="J40" s="73">
        <v>16738</v>
      </c>
      <c r="K40" s="73">
        <f t="shared" si="0"/>
        <v>7.677270630690054</v>
      </c>
      <c r="L40" s="73"/>
    </row>
    <row r="41" spans="2:12" s="82" customFormat="1" x14ac:dyDescent="0.25">
      <c r="B41" s="22"/>
      <c r="C41" s="22">
        <v>68</v>
      </c>
      <c r="D41" s="22"/>
      <c r="E41" s="22"/>
      <c r="F41" s="79" t="s">
        <v>105</v>
      </c>
      <c r="G41" s="80">
        <f>G42</f>
        <v>359.35098546685248</v>
      </c>
      <c r="H41" s="80">
        <f>H42</f>
        <v>663.61</v>
      </c>
      <c r="I41" s="80"/>
      <c r="J41" s="81">
        <f>J42</f>
        <v>3</v>
      </c>
      <c r="K41" s="81">
        <f t="shared" si="0"/>
        <v>0.83483839514243607</v>
      </c>
      <c r="L41" s="81"/>
    </row>
    <row r="42" spans="2:12" s="82" customFormat="1" x14ac:dyDescent="0.25">
      <c r="B42" s="22"/>
      <c r="C42" s="22"/>
      <c r="D42" s="22">
        <v>683</v>
      </c>
      <c r="E42" s="22"/>
      <c r="F42" s="79" t="s">
        <v>106</v>
      </c>
      <c r="G42" s="80">
        <f>G43</f>
        <v>359.35098546685248</v>
      </c>
      <c r="H42" s="80">
        <f>H43</f>
        <v>663.61</v>
      </c>
      <c r="I42" s="80"/>
      <c r="J42" s="81">
        <f>J43</f>
        <v>3</v>
      </c>
      <c r="K42" s="81">
        <f t="shared" si="0"/>
        <v>0.83483839514243607</v>
      </c>
      <c r="L42" s="81"/>
    </row>
    <row r="43" spans="2:12" x14ac:dyDescent="0.25">
      <c r="B43" s="11"/>
      <c r="C43" s="11"/>
      <c r="D43" s="11"/>
      <c r="E43" s="11">
        <v>6831</v>
      </c>
      <c r="F43" s="29" t="s">
        <v>106</v>
      </c>
      <c r="G43" s="72">
        <f>2707.53/7.5345</f>
        <v>359.35098546685248</v>
      </c>
      <c r="H43" s="72">
        <v>663.61</v>
      </c>
      <c r="I43" s="72"/>
      <c r="J43" s="73">
        <v>3</v>
      </c>
      <c r="K43" s="73">
        <f t="shared" si="0"/>
        <v>0.83483839514243607</v>
      </c>
      <c r="L43" s="73"/>
    </row>
    <row r="45" spans="2:12" ht="18" x14ac:dyDescent="0.25">
      <c r="B45" s="3"/>
      <c r="C45" s="3"/>
      <c r="D45" s="3"/>
      <c r="E45" s="19"/>
      <c r="F45" s="3"/>
      <c r="G45" s="68"/>
      <c r="H45" s="68"/>
      <c r="I45" s="68"/>
      <c r="J45" s="69"/>
      <c r="K45" s="69"/>
      <c r="L45" s="69"/>
    </row>
    <row r="46" spans="2:12" ht="36.75" customHeight="1" x14ac:dyDescent="0.25">
      <c r="B46" s="147" t="s">
        <v>7</v>
      </c>
      <c r="C46" s="148"/>
      <c r="D46" s="148"/>
      <c r="E46" s="148"/>
      <c r="F46" s="149"/>
      <c r="G46" s="70" t="s">
        <v>28</v>
      </c>
      <c r="H46" s="70" t="s">
        <v>63</v>
      </c>
      <c r="I46" s="70" t="s">
        <v>60</v>
      </c>
      <c r="J46" s="70" t="s">
        <v>29</v>
      </c>
      <c r="K46" s="70" t="s">
        <v>30</v>
      </c>
      <c r="L46" s="70" t="s">
        <v>61</v>
      </c>
    </row>
    <row r="47" spans="2:12" x14ac:dyDescent="0.25">
      <c r="B47" s="144">
        <v>1</v>
      </c>
      <c r="C47" s="145"/>
      <c r="D47" s="145"/>
      <c r="E47" s="145"/>
      <c r="F47" s="146"/>
      <c r="G47" s="71">
        <v>2</v>
      </c>
      <c r="H47" s="71">
        <v>3</v>
      </c>
      <c r="I47" s="71">
        <v>4</v>
      </c>
      <c r="J47" s="71">
        <v>5</v>
      </c>
      <c r="K47" s="71" t="s">
        <v>43</v>
      </c>
      <c r="L47" s="71" t="s">
        <v>44</v>
      </c>
    </row>
    <row r="48" spans="2:12" x14ac:dyDescent="0.25">
      <c r="B48" s="10"/>
      <c r="C48" s="10"/>
      <c r="D48" s="10"/>
      <c r="E48" s="10"/>
      <c r="F48" s="10" t="s">
        <v>58</v>
      </c>
      <c r="G48" s="80">
        <f>G49+G102</f>
        <v>2369442.2536332868</v>
      </c>
      <c r="H48" s="80">
        <f>H49+H102</f>
        <v>8721397.7599999998</v>
      </c>
      <c r="I48" s="72"/>
      <c r="J48" s="81">
        <f>J49+J102</f>
        <v>9743074.9600000009</v>
      </c>
      <c r="K48" s="81">
        <f>J48/G48*100</f>
        <v>411.1969787429947</v>
      </c>
      <c r="L48" s="73"/>
    </row>
    <row r="49" spans="2:12" x14ac:dyDescent="0.25">
      <c r="B49" s="10">
        <v>3</v>
      </c>
      <c r="C49" s="10"/>
      <c r="D49" s="10"/>
      <c r="E49" s="10"/>
      <c r="F49" s="10" t="s">
        <v>4</v>
      </c>
      <c r="G49" s="80">
        <f>G50+G61+G93+G99</f>
        <v>2026159.7265910145</v>
      </c>
      <c r="H49" s="80">
        <f>H50+H61+H93+H99</f>
        <v>4562157.4700000007</v>
      </c>
      <c r="I49" s="72"/>
      <c r="J49" s="81">
        <f>J50+J61+J94</f>
        <v>2207393.23</v>
      </c>
      <c r="K49" s="81">
        <f t="shared" ref="K49:K51" si="1">J49/G49*100</f>
        <v>108.94467997910058</v>
      </c>
      <c r="L49" s="73"/>
    </row>
    <row r="50" spans="2:12" s="82" customFormat="1" x14ac:dyDescent="0.25">
      <c r="B50" s="10"/>
      <c r="C50" s="10">
        <v>31</v>
      </c>
      <c r="D50" s="10"/>
      <c r="E50" s="10"/>
      <c r="F50" s="10" t="s">
        <v>5</v>
      </c>
      <c r="G50" s="80">
        <f>G51+G56+G58</f>
        <v>1492697.1278784259</v>
      </c>
      <c r="H50" s="80">
        <f>H51+H56+H58</f>
        <v>3327202.12</v>
      </c>
      <c r="I50" s="80"/>
      <c r="J50" s="81">
        <f>J51+J56+J58</f>
        <v>1715992.74</v>
      </c>
      <c r="K50" s="81">
        <f t="shared" si="1"/>
        <v>114.95920424520041</v>
      </c>
      <c r="L50" s="81"/>
    </row>
    <row r="51" spans="2:12" s="82" customFormat="1" x14ac:dyDescent="0.25">
      <c r="B51" s="22"/>
      <c r="C51" s="22"/>
      <c r="D51" s="22">
        <v>311</v>
      </c>
      <c r="E51" s="22"/>
      <c r="F51" s="22" t="s">
        <v>39</v>
      </c>
      <c r="G51" s="80">
        <f>SUM(G52:G55)</f>
        <v>1220027.7058862564</v>
      </c>
      <c r="H51" s="80">
        <f>SUM(H52:H55)</f>
        <v>2718163.7</v>
      </c>
      <c r="I51" s="80"/>
      <c r="J51" s="81">
        <f>SUM(J52:J55)</f>
        <v>1389987.72</v>
      </c>
      <c r="K51" s="81">
        <f t="shared" si="1"/>
        <v>113.93083233222812</v>
      </c>
      <c r="L51" s="81"/>
    </row>
    <row r="52" spans="2:12" x14ac:dyDescent="0.25">
      <c r="B52" s="11"/>
      <c r="C52" s="11"/>
      <c r="D52" s="11"/>
      <c r="E52" s="11">
        <v>3111</v>
      </c>
      <c r="F52" s="11" t="s">
        <v>40</v>
      </c>
      <c r="G52" s="72">
        <f>9063897.01/7.5345</f>
        <v>1202985.8663481318</v>
      </c>
      <c r="H52" s="93">
        <f>2668394.64+796.34+11345.81</f>
        <v>2680536.79</v>
      </c>
      <c r="I52" s="72"/>
      <c r="J52" s="73">
        <v>1364755.29</v>
      </c>
      <c r="K52" s="84">
        <f t="shared" ref="K52:K112" si="2">J52/G52*100</f>
        <v>113.44732537406668</v>
      </c>
      <c r="L52" s="73"/>
    </row>
    <row r="53" spans="2:12" x14ac:dyDescent="0.25">
      <c r="B53" s="11"/>
      <c r="C53" s="11"/>
      <c r="D53" s="11"/>
      <c r="E53" s="11">
        <v>3112</v>
      </c>
      <c r="F53" s="11" t="s">
        <v>108</v>
      </c>
      <c r="G53" s="72">
        <f>4102.37/7.5345</f>
        <v>544.47806755590943</v>
      </c>
      <c r="H53" s="72">
        <v>1128.1400000000001</v>
      </c>
      <c r="I53" s="72"/>
      <c r="J53" s="73">
        <v>555.17999999999995</v>
      </c>
      <c r="K53" s="84">
        <f t="shared" si="2"/>
        <v>101.96553967584592</v>
      </c>
      <c r="L53" s="73"/>
    </row>
    <row r="54" spans="2:12" x14ac:dyDescent="0.25">
      <c r="B54" s="11"/>
      <c r="C54" s="11"/>
      <c r="D54" s="11"/>
      <c r="E54" s="11">
        <v>3113</v>
      </c>
      <c r="F54" s="11" t="s">
        <v>109</v>
      </c>
      <c r="G54" s="72">
        <f>72722.05/7.5345</f>
        <v>9651.8747096688567</v>
      </c>
      <c r="H54" s="93">
        <v>19908.419999999998</v>
      </c>
      <c r="I54" s="72"/>
      <c r="J54" s="73">
        <v>15261.71</v>
      </c>
      <c r="K54" s="84">
        <f t="shared" si="2"/>
        <v>158.12171685891693</v>
      </c>
      <c r="L54" s="73"/>
    </row>
    <row r="55" spans="2:12" x14ac:dyDescent="0.25">
      <c r="B55" s="11"/>
      <c r="C55" s="11"/>
      <c r="D55" s="11"/>
      <c r="E55" s="11">
        <v>3114</v>
      </c>
      <c r="F55" s="11" t="s">
        <v>110</v>
      </c>
      <c r="G55" s="72">
        <f>51577.32/7.5345</f>
        <v>6845.4867608998602</v>
      </c>
      <c r="H55" s="93">
        <v>16590.349999999999</v>
      </c>
      <c r="I55" s="72"/>
      <c r="J55" s="73">
        <v>9415.5400000000009</v>
      </c>
      <c r="K55" s="84">
        <f t="shared" si="2"/>
        <v>137.54376173480904</v>
      </c>
      <c r="L55" s="73"/>
    </row>
    <row r="56" spans="2:12" s="82" customFormat="1" x14ac:dyDescent="0.25">
      <c r="B56" s="22"/>
      <c r="C56" s="22"/>
      <c r="D56" s="22">
        <v>312</v>
      </c>
      <c r="E56" s="22"/>
      <c r="F56" s="22" t="s">
        <v>111</v>
      </c>
      <c r="G56" s="80">
        <f>G57</f>
        <v>73637.741057800784</v>
      </c>
      <c r="H56" s="80">
        <f>H57</f>
        <v>161656.37999999998</v>
      </c>
      <c r="I56" s="80"/>
      <c r="J56" s="81">
        <f>J57</f>
        <v>98978.29</v>
      </c>
      <c r="K56" s="81">
        <f t="shared" si="2"/>
        <v>134.41244744635571</v>
      </c>
      <c r="L56" s="81"/>
    </row>
    <row r="57" spans="2:12" s="85" customFormat="1" x14ac:dyDescent="0.25">
      <c r="B57" s="11"/>
      <c r="C57" s="11"/>
      <c r="D57" s="11"/>
      <c r="E57" s="11">
        <v>3121</v>
      </c>
      <c r="F57" s="11" t="s">
        <v>111</v>
      </c>
      <c r="G57" s="72">
        <f>554823.56/7.5345</f>
        <v>73637.741057800784</v>
      </c>
      <c r="H57" s="72">
        <f>115203.4+34507.93+11945.05</f>
        <v>161656.37999999998</v>
      </c>
      <c r="I57" s="72"/>
      <c r="J57" s="84">
        <v>98978.29</v>
      </c>
      <c r="K57" s="84">
        <f t="shared" si="2"/>
        <v>134.41244744635571</v>
      </c>
      <c r="L57" s="84"/>
    </row>
    <row r="58" spans="2:12" s="82" customFormat="1" x14ac:dyDescent="0.25">
      <c r="B58" s="22"/>
      <c r="C58" s="22"/>
      <c r="D58" s="22">
        <v>313</v>
      </c>
      <c r="E58" s="22"/>
      <c r="F58" s="22" t="s">
        <v>112</v>
      </c>
      <c r="G58" s="80">
        <f>SUM(G59:G60)</f>
        <v>199031.68093436855</v>
      </c>
      <c r="H58" s="80">
        <f>H59</f>
        <v>447382.04</v>
      </c>
      <c r="I58" s="80"/>
      <c r="J58" s="81">
        <f>J59+J60</f>
        <v>227026.73</v>
      </c>
      <c r="K58" s="84">
        <f t="shared" si="2"/>
        <v>114.06562459514321</v>
      </c>
      <c r="L58" s="81"/>
    </row>
    <row r="59" spans="2:12" s="85" customFormat="1" x14ac:dyDescent="0.25">
      <c r="B59" s="11"/>
      <c r="C59" s="11"/>
      <c r="D59" s="11"/>
      <c r="E59" s="11">
        <v>3132</v>
      </c>
      <c r="F59" s="11" t="s">
        <v>113</v>
      </c>
      <c r="G59" s="72">
        <f>1498265.15/7.5345</f>
        <v>198853.95845776095</v>
      </c>
      <c r="H59" s="72">
        <v>447382.04</v>
      </c>
      <c r="I59" s="72"/>
      <c r="J59" s="84">
        <v>226978.91</v>
      </c>
      <c r="K59" s="84">
        <f t="shared" si="2"/>
        <v>114.14352108470254</v>
      </c>
      <c r="L59" s="84"/>
    </row>
    <row r="60" spans="2:12" s="85" customFormat="1" ht="25.5" x14ac:dyDescent="0.25">
      <c r="B60" s="11"/>
      <c r="C60" s="11"/>
      <c r="D60" s="11"/>
      <c r="E60" s="11">
        <v>3133</v>
      </c>
      <c r="F60" s="86" t="s">
        <v>114</v>
      </c>
      <c r="G60" s="72">
        <f>1339.05/7.5345</f>
        <v>177.72247660760499</v>
      </c>
      <c r="H60" s="72">
        <v>0</v>
      </c>
      <c r="I60" s="72"/>
      <c r="J60" s="84">
        <v>47.82</v>
      </c>
      <c r="K60" s="84">
        <f t="shared" si="2"/>
        <v>26.907119973115272</v>
      </c>
      <c r="L60" s="84"/>
    </row>
    <row r="61" spans="2:12" s="82" customFormat="1" x14ac:dyDescent="0.25">
      <c r="B61" s="22"/>
      <c r="C61" s="22">
        <v>32</v>
      </c>
      <c r="D61" s="83"/>
      <c r="E61" s="83"/>
      <c r="F61" s="22" t="s">
        <v>12</v>
      </c>
      <c r="G61" s="80">
        <f>G62+G67+G73+G83+G85</f>
        <v>528305.72698918311</v>
      </c>
      <c r="H61" s="80">
        <f>H62+H67+H73+H83+H85</f>
        <v>1228451.9400000002</v>
      </c>
      <c r="I61" s="80"/>
      <c r="J61" s="81">
        <f>J62+J67+J73+J83+J85</f>
        <v>489183.71000000008</v>
      </c>
      <c r="K61" s="81">
        <f t="shared" si="2"/>
        <v>92.594814897779059</v>
      </c>
      <c r="L61" s="81"/>
    </row>
    <row r="62" spans="2:12" s="82" customFormat="1" x14ac:dyDescent="0.25">
      <c r="B62" s="22"/>
      <c r="C62" s="22"/>
      <c r="D62" s="22">
        <v>321</v>
      </c>
      <c r="E62" s="22"/>
      <c r="F62" s="22" t="s">
        <v>41</v>
      </c>
      <c r="G62" s="80">
        <f>SUM(G63:G66)</f>
        <v>56045.466852478603</v>
      </c>
      <c r="H62" s="80">
        <f>SUM(H63:H66)</f>
        <v>121335.46999999999</v>
      </c>
      <c r="I62" s="80"/>
      <c r="J62" s="81">
        <f>SUM(J63:J65)</f>
        <v>60505.53</v>
      </c>
      <c r="K62" s="81">
        <f t="shared" si="2"/>
        <v>107.95793736407096</v>
      </c>
      <c r="L62" s="81"/>
    </row>
    <row r="63" spans="2:12" x14ac:dyDescent="0.25">
      <c r="B63" s="11"/>
      <c r="C63" s="22"/>
      <c r="D63" s="11"/>
      <c r="E63" s="11">
        <v>3211</v>
      </c>
      <c r="F63" s="29" t="s">
        <v>42</v>
      </c>
      <c r="G63" s="72">
        <f>(5100+9110.62+4578.9+13574.06+19011+3572.55-346)/7.5345</f>
        <v>7246.8153162120916</v>
      </c>
      <c r="H63" s="72">
        <f>(15203.4+6547.48+2654.46+3981.68+2654.46)</f>
        <v>31041.479999999996</v>
      </c>
      <c r="I63" s="72"/>
      <c r="J63" s="73">
        <f>982.38+4705+925.32+2756.57+3288.68+1116.19</f>
        <v>13774.140000000001</v>
      </c>
      <c r="K63" s="84">
        <f t="shared" si="2"/>
        <v>190.07163007432263</v>
      </c>
      <c r="L63" s="73"/>
    </row>
    <row r="64" spans="2:12" x14ac:dyDescent="0.25">
      <c r="B64" s="11"/>
      <c r="C64" s="22"/>
      <c r="D64" s="12"/>
      <c r="E64" s="11">
        <v>3212</v>
      </c>
      <c r="F64" s="29" t="s">
        <v>116</v>
      </c>
      <c r="G64" s="72">
        <f>291387.37/7.5345</f>
        <v>38673.750082951752</v>
      </c>
      <c r="H64" s="72">
        <f>74988.39+573.36</f>
        <v>75561.75</v>
      </c>
      <c r="I64" s="72"/>
      <c r="J64" s="73">
        <v>40196.22</v>
      </c>
      <c r="K64" s="84">
        <f t="shared" si="2"/>
        <v>103.93670102791349</v>
      </c>
      <c r="L64" s="73"/>
    </row>
    <row r="65" spans="2:12" x14ac:dyDescent="0.25">
      <c r="B65" s="11"/>
      <c r="C65" s="22"/>
      <c r="D65" s="12"/>
      <c r="E65" s="11">
        <v>3213</v>
      </c>
      <c r="F65" s="11" t="s">
        <v>115</v>
      </c>
      <c r="G65" s="72">
        <f>70286.07/7.5345</f>
        <v>9328.5646028269966</v>
      </c>
      <c r="H65" s="72">
        <f>5441.64+6636.14+1327.23</f>
        <v>13405.01</v>
      </c>
      <c r="I65" s="72"/>
      <c r="J65" s="73">
        <f>6195.17+340</f>
        <v>6535.17</v>
      </c>
      <c r="K65" s="84">
        <f t="shared" si="2"/>
        <v>70.055472393036055</v>
      </c>
      <c r="L65" s="73"/>
    </row>
    <row r="66" spans="2:12" s="85" customFormat="1" x14ac:dyDescent="0.25">
      <c r="B66" s="11"/>
      <c r="C66" s="11"/>
      <c r="D66" s="11"/>
      <c r="E66" s="11">
        <v>3214</v>
      </c>
      <c r="F66" s="11" t="s">
        <v>117</v>
      </c>
      <c r="G66" s="72">
        <f>6000/7.5345</f>
        <v>796.33685048775624</v>
      </c>
      <c r="H66" s="72">
        <v>1327.23</v>
      </c>
      <c r="I66" s="72"/>
      <c r="J66" s="84">
        <v>0</v>
      </c>
      <c r="K66" s="84">
        <f t="shared" si="2"/>
        <v>0</v>
      </c>
      <c r="L66" s="84"/>
    </row>
    <row r="67" spans="2:12" s="82" customFormat="1" x14ac:dyDescent="0.25">
      <c r="B67" s="22"/>
      <c r="C67" s="22"/>
      <c r="D67" s="22">
        <v>322</v>
      </c>
      <c r="E67" s="22"/>
      <c r="F67" s="22" t="s">
        <v>118</v>
      </c>
      <c r="G67" s="80">
        <f>SUM(G68:G71)</f>
        <v>209888.65883602097</v>
      </c>
      <c r="H67" s="80">
        <f>SUM(H68:H72)</f>
        <v>491870.71</v>
      </c>
      <c r="I67" s="80"/>
      <c r="J67" s="81">
        <f>SUM(J68:J72)</f>
        <v>141581.76000000001</v>
      </c>
      <c r="K67" s="81">
        <f t="shared" si="2"/>
        <v>67.455650431600091</v>
      </c>
      <c r="L67" s="81"/>
    </row>
    <row r="68" spans="2:12" s="85" customFormat="1" x14ac:dyDescent="0.25">
      <c r="B68" s="11"/>
      <c r="C68" s="11"/>
      <c r="D68" s="11"/>
      <c r="E68" s="11">
        <v>3221</v>
      </c>
      <c r="F68" s="11" t="s">
        <v>119</v>
      </c>
      <c r="G68" s="72">
        <f>(40007.54+5449.7+35457.18+19911.29+11554.33+44157.72)/7.5345</f>
        <v>20776.131130134712</v>
      </c>
      <c r="H68" s="72">
        <f>44037.43+18581.19+1990.84+4910.74</f>
        <v>69520.2</v>
      </c>
      <c r="I68" s="72"/>
      <c r="J68" s="84">
        <f>2322.58+486.42+2389.17+1870.43+2658.39+1336.81</f>
        <v>11063.8</v>
      </c>
      <c r="K68" s="84">
        <f t="shared" si="2"/>
        <v>53.252455573658395</v>
      </c>
      <c r="L68" s="84"/>
    </row>
    <row r="69" spans="2:12" s="85" customFormat="1" x14ac:dyDescent="0.25">
      <c r="B69" s="11"/>
      <c r="C69" s="11"/>
      <c r="D69" s="11"/>
      <c r="E69" s="11">
        <v>3223</v>
      </c>
      <c r="F69" s="11" t="s">
        <v>120</v>
      </c>
      <c r="G69" s="72">
        <f>(463897.56+52806.85+827971.29+22264.73)/7.5345</f>
        <v>181424.17280509655</v>
      </c>
      <c r="H69" s="72">
        <f>392859.51+3981.68+663.61</f>
        <v>397504.8</v>
      </c>
      <c r="I69" s="72"/>
      <c r="J69" s="84">
        <f>61096.2+6156.83+47487.05+4854.84-62.5</f>
        <v>119532.42</v>
      </c>
      <c r="K69" s="84">
        <f t="shared" si="2"/>
        <v>65.885608379437571</v>
      </c>
      <c r="L69" s="84"/>
    </row>
    <row r="70" spans="2:12" s="85" customFormat="1" x14ac:dyDescent="0.25">
      <c r="B70" s="11"/>
      <c r="C70" s="11"/>
      <c r="D70" s="11"/>
      <c r="E70" s="11">
        <v>3224</v>
      </c>
      <c r="F70" s="11" t="s">
        <v>121</v>
      </c>
      <c r="G70" s="72">
        <f>(22015.8+75.14+420)/7.5345</f>
        <v>2987.7151768531417</v>
      </c>
      <c r="H70" s="72">
        <f>663.61+8626.98</f>
        <v>9290.59</v>
      </c>
      <c r="I70" s="72"/>
      <c r="J70" s="84">
        <f>689.04+1028.38+213.08+385</f>
        <v>2315.5</v>
      </c>
      <c r="K70" s="84">
        <f t="shared" si="2"/>
        <v>77.500694106954242</v>
      </c>
      <c r="L70" s="84"/>
    </row>
    <row r="71" spans="2:12" s="85" customFormat="1" x14ac:dyDescent="0.25">
      <c r="B71" s="11"/>
      <c r="C71" s="11"/>
      <c r="D71" s="11"/>
      <c r="E71" s="11">
        <v>3225</v>
      </c>
      <c r="F71" s="11" t="s">
        <v>122</v>
      </c>
      <c r="G71" s="72">
        <f>35416.97/7.5345</f>
        <v>4700.6397239365588</v>
      </c>
      <c r="H71" s="72">
        <f>265.45+7963.37+1327.23</f>
        <v>9556.0499999999993</v>
      </c>
      <c r="I71" s="72"/>
      <c r="J71" s="84">
        <f>6733.98+1737</f>
        <v>8470.98</v>
      </c>
      <c r="K71" s="84">
        <f t="shared" si="2"/>
        <v>180.20908849627733</v>
      </c>
      <c r="L71" s="84"/>
    </row>
    <row r="72" spans="2:12" s="85" customFormat="1" x14ac:dyDescent="0.25">
      <c r="B72" s="11"/>
      <c r="C72" s="11"/>
      <c r="D72" s="11"/>
      <c r="E72" s="11">
        <v>3227</v>
      </c>
      <c r="F72" s="11" t="s">
        <v>159</v>
      </c>
      <c r="G72" s="72"/>
      <c r="H72" s="72">
        <f>2681+1990.84+1327.23</f>
        <v>5999.07</v>
      </c>
      <c r="I72" s="72"/>
      <c r="J72" s="84">
        <v>199.06</v>
      </c>
      <c r="K72" s="84"/>
      <c r="L72" s="84"/>
    </row>
    <row r="73" spans="2:12" s="82" customFormat="1" x14ac:dyDescent="0.25">
      <c r="B73" s="22"/>
      <c r="C73" s="22"/>
      <c r="D73" s="22">
        <v>323</v>
      </c>
      <c r="E73" s="22"/>
      <c r="F73" s="22" t="s">
        <v>123</v>
      </c>
      <c r="G73" s="80">
        <f>SUM(G74:G82)</f>
        <v>238635.37593735481</v>
      </c>
      <c r="H73" s="80">
        <f>SUM(H74:H82)</f>
        <v>561593.3600000001</v>
      </c>
      <c r="I73" s="80"/>
      <c r="J73" s="81">
        <f>SUM(J74:J82)</f>
        <v>252140.16000000003</v>
      </c>
      <c r="K73" s="81">
        <f t="shared" si="2"/>
        <v>105.65917103011182</v>
      </c>
      <c r="L73" s="81"/>
    </row>
    <row r="74" spans="2:12" s="85" customFormat="1" x14ac:dyDescent="0.25">
      <c r="B74" s="11"/>
      <c r="C74" s="11"/>
      <c r="D74" s="11"/>
      <c r="E74" s="11">
        <v>3231</v>
      </c>
      <c r="F74" s="11" t="s">
        <v>124</v>
      </c>
      <c r="G74" s="72">
        <f>(38824.32+15609.15+24808.07+77.3+5965-606.74)/7.5345</f>
        <v>11238.582520406131</v>
      </c>
      <c r="H74" s="72">
        <f>3318.07+22562.88+1327.23+398.17</f>
        <v>27606.35</v>
      </c>
      <c r="I74" s="72"/>
      <c r="J74" s="84">
        <f>5204.4+1946.48+537.32+2018.85+764.64-78.44</f>
        <v>10393.249999999998</v>
      </c>
      <c r="K74" s="84">
        <f t="shared" si="2"/>
        <v>92.478299475300858</v>
      </c>
      <c r="L74" s="84"/>
    </row>
    <row r="75" spans="2:12" s="85" customFormat="1" x14ac:dyDescent="0.25">
      <c r="B75" s="11"/>
      <c r="C75" s="11"/>
      <c r="D75" s="11"/>
      <c r="E75" s="11">
        <v>3232</v>
      </c>
      <c r="F75" s="11" t="s">
        <v>125</v>
      </c>
      <c r="G75" s="72">
        <f>(376092.35+156267.3+15234.92+3300+35929.65)/7.5345</f>
        <v>77884.958524122369</v>
      </c>
      <c r="H75" s="72">
        <f>3318.07+96927.47+13272.28+1327.23</f>
        <v>114845.05</v>
      </c>
      <c r="I75" s="72"/>
      <c r="J75" s="84">
        <f>30960.62+25428.51+2995.97+1600+5973.83</f>
        <v>66958.929999999993</v>
      </c>
      <c r="K75" s="84">
        <f t="shared" si="2"/>
        <v>85.971580737584404</v>
      </c>
      <c r="L75" s="84"/>
    </row>
    <row r="76" spans="2:12" s="85" customFormat="1" x14ac:dyDescent="0.25">
      <c r="B76" s="11"/>
      <c r="C76" s="11"/>
      <c r="D76" s="11"/>
      <c r="E76" s="11">
        <v>3233</v>
      </c>
      <c r="F76" s="11" t="s">
        <v>126</v>
      </c>
      <c r="G76" s="72">
        <f>(7015.68+13885)/7.5345</f>
        <v>2773.9969473754063</v>
      </c>
      <c r="H76" s="72">
        <f>265.45+530.89+5972.53+1327.23</f>
        <v>8096.1</v>
      </c>
      <c r="I76" s="72"/>
      <c r="J76" s="84">
        <f>1733.68+1195.51</f>
        <v>2929.19</v>
      </c>
      <c r="K76" s="84">
        <f t="shared" si="2"/>
        <v>105.59456465052813</v>
      </c>
      <c r="L76" s="84"/>
    </row>
    <row r="77" spans="2:12" s="85" customFormat="1" x14ac:dyDescent="0.25">
      <c r="B77" s="11"/>
      <c r="C77" s="11"/>
      <c r="D77" s="11"/>
      <c r="E77" s="11">
        <v>3234</v>
      </c>
      <c r="F77" s="11" t="s">
        <v>127</v>
      </c>
      <c r="G77" s="72">
        <f>(54825.69+26300.41+5875+3670.63+63682.65)/7.5345</f>
        <v>20486.346804698387</v>
      </c>
      <c r="H77" s="72">
        <f>45789.37+1327.23</f>
        <v>47116.600000000006</v>
      </c>
      <c r="I77" s="72"/>
      <c r="J77" s="84">
        <f>9261.76+3017.68+937.5+498.09+7543.05</f>
        <v>21258.080000000002</v>
      </c>
      <c r="K77" s="84">
        <f t="shared" si="2"/>
        <v>103.76706107076457</v>
      </c>
      <c r="L77" s="84"/>
    </row>
    <row r="78" spans="2:12" s="85" customFormat="1" x14ac:dyDescent="0.25">
      <c r="B78" s="11"/>
      <c r="C78" s="11"/>
      <c r="D78" s="11"/>
      <c r="E78" s="11">
        <v>3235</v>
      </c>
      <c r="F78" s="11" t="s">
        <v>128</v>
      </c>
      <c r="G78" s="72">
        <f>(24906.25+68120.68+24000)/7.5345</f>
        <v>15532.142809741852</v>
      </c>
      <c r="H78" s="72">
        <f>4260.4+15926.74+6636.14</f>
        <v>26823.279999999999</v>
      </c>
      <c r="I78" s="72"/>
      <c r="J78" s="84">
        <f>8452.12+3187.2</f>
        <v>11639.32</v>
      </c>
      <c r="K78" s="84">
        <f t="shared" si="2"/>
        <v>74.93698804198317</v>
      </c>
      <c r="L78" s="84"/>
    </row>
    <row r="79" spans="2:12" s="85" customFormat="1" x14ac:dyDescent="0.25">
      <c r="B79" s="11"/>
      <c r="C79" s="11"/>
      <c r="D79" s="11"/>
      <c r="E79" s="11">
        <v>3236</v>
      </c>
      <c r="F79" s="11" t="s">
        <v>129</v>
      </c>
      <c r="G79" s="72">
        <f>(13500+15087.5)/7.5345</f>
        <v>3794.2132855531222</v>
      </c>
      <c r="H79" s="72">
        <f>15926.74+1327.23</f>
        <v>17253.97</v>
      </c>
      <c r="I79" s="72"/>
      <c r="J79" s="84">
        <v>146.27000000000001</v>
      </c>
      <c r="K79" s="84">
        <f t="shared" si="2"/>
        <v>3.8550811193703542</v>
      </c>
      <c r="L79" s="84"/>
    </row>
    <row r="80" spans="2:12" s="85" customFormat="1" x14ac:dyDescent="0.25">
      <c r="B80" s="11"/>
      <c r="C80" s="11"/>
      <c r="D80" s="11"/>
      <c r="E80" s="11">
        <v>3237</v>
      </c>
      <c r="F80" s="11" t="s">
        <v>130</v>
      </c>
      <c r="G80" s="72">
        <f>(27200+5158.95+353.58+2082.04+1826.71+58460+17552.4+7668.9+776.92+6334.37+251027.27+96120.88)/7.5345</f>
        <v>62985.204061317927</v>
      </c>
      <c r="H80" s="72">
        <f>32520.41+62379.72+13272.28+3981.68+9290.6</f>
        <v>121444.69</v>
      </c>
      <c r="I80" s="72"/>
      <c r="J80" s="84">
        <f>6088.31+1025.1+118.24+370.48+366.52+3045.26+901.64+338.08+100.46+328.9+2924.02+625+13116.6+5147.79</f>
        <v>34496.400000000001</v>
      </c>
      <c r="K80" s="84">
        <f t="shared" si="2"/>
        <v>54.769053326264924</v>
      </c>
      <c r="L80" s="84"/>
    </row>
    <row r="81" spans="2:12" s="85" customFormat="1" x14ac:dyDescent="0.25">
      <c r="B81" s="11"/>
      <c r="C81" s="11"/>
      <c r="D81" s="11"/>
      <c r="E81" s="11">
        <v>3238</v>
      </c>
      <c r="F81" s="11" t="s">
        <v>131</v>
      </c>
      <c r="G81" s="72">
        <f>23475/7.5345</f>
        <v>3115.6679275333463</v>
      </c>
      <c r="H81" s="72">
        <f>8228.81+17253.97+3981.68</f>
        <v>29464.46</v>
      </c>
      <c r="I81" s="72"/>
      <c r="J81" s="84">
        <v>3981.7</v>
      </c>
      <c r="K81" s="84">
        <f t="shared" si="2"/>
        <v>127.79603258785943</v>
      </c>
      <c r="L81" s="84"/>
    </row>
    <row r="82" spans="2:12" s="85" customFormat="1" x14ac:dyDescent="0.25">
      <c r="B82" s="11"/>
      <c r="C82" s="11"/>
      <c r="D82" s="11"/>
      <c r="E82" s="11">
        <v>3239</v>
      </c>
      <c r="F82" s="11" t="s">
        <v>132</v>
      </c>
      <c r="G82" s="72">
        <f>(130095+6950+6201.18+980+157168.74+6195.49)/7.5345</f>
        <v>40824.263056606273</v>
      </c>
      <c r="H82" s="72">
        <f>52677.68+53885.46+58398.04+3981.68</f>
        <v>168942.86</v>
      </c>
      <c r="I82" s="72"/>
      <c r="J82" s="84">
        <f>25373.75+51094.17+796.02+524+20620.44+1928.64</f>
        <v>100337.02</v>
      </c>
      <c r="K82" s="84">
        <f t="shared" si="2"/>
        <v>245.77790874234347</v>
      </c>
      <c r="L82" s="84"/>
    </row>
    <row r="83" spans="2:12" s="82" customFormat="1" x14ac:dyDescent="0.25">
      <c r="B83" s="22"/>
      <c r="C83" s="22"/>
      <c r="D83" s="22">
        <v>324</v>
      </c>
      <c r="E83" s="22"/>
      <c r="F83" s="22" t="s">
        <v>133</v>
      </c>
      <c r="G83" s="80">
        <f>G84</f>
        <v>530.01526312296767</v>
      </c>
      <c r="H83" s="80">
        <f>H84</f>
        <v>3318.0699999999997</v>
      </c>
      <c r="I83" s="80"/>
      <c r="J83" s="81">
        <f>J84</f>
        <v>584.9</v>
      </c>
      <c r="K83" s="81">
        <f t="shared" si="2"/>
        <v>110.35531251565082</v>
      </c>
      <c r="L83" s="81"/>
    </row>
    <row r="84" spans="2:12" s="85" customFormat="1" x14ac:dyDescent="0.25">
      <c r="B84" s="11"/>
      <c r="C84" s="11"/>
      <c r="D84" s="11"/>
      <c r="E84" s="11">
        <v>3241</v>
      </c>
      <c r="F84" s="11" t="s">
        <v>134</v>
      </c>
      <c r="G84" s="72">
        <f>3993.4/7.5345</f>
        <v>530.01526312296767</v>
      </c>
      <c r="H84" s="72">
        <f>1327.23+1990.84</f>
        <v>3318.0699999999997</v>
      </c>
      <c r="I84" s="72"/>
      <c r="J84" s="84">
        <v>584.9</v>
      </c>
      <c r="K84" s="84">
        <f t="shared" si="2"/>
        <v>110.35531251565082</v>
      </c>
      <c r="L84" s="84"/>
    </row>
    <row r="85" spans="2:12" s="82" customFormat="1" x14ac:dyDescent="0.25">
      <c r="B85" s="22"/>
      <c r="C85" s="22"/>
      <c r="D85" s="22">
        <v>329</v>
      </c>
      <c r="E85" s="22"/>
      <c r="F85" s="22" t="s">
        <v>135</v>
      </c>
      <c r="G85" s="80">
        <f>SUM(G87:G91)</f>
        <v>23206.210100205717</v>
      </c>
      <c r="H85" s="80">
        <f>SUM(H86:H92)</f>
        <v>50334.330000000009</v>
      </c>
      <c r="I85" s="80"/>
      <c r="J85" s="81">
        <f>SUM(J87:J92)</f>
        <v>34371.360000000001</v>
      </c>
      <c r="K85" s="81">
        <f t="shared" si="2"/>
        <v>148.11276745139571</v>
      </c>
      <c r="L85" s="81"/>
    </row>
    <row r="86" spans="2:12" s="85" customFormat="1" ht="25.5" x14ac:dyDescent="0.25">
      <c r="B86" s="11"/>
      <c r="C86" s="11"/>
      <c r="D86" s="11"/>
      <c r="E86" s="11">
        <v>3291</v>
      </c>
      <c r="F86" s="29" t="s">
        <v>160</v>
      </c>
      <c r="G86" s="72">
        <v>0</v>
      </c>
      <c r="H86" s="72">
        <f>1327.23+1990.84</f>
        <v>3318.0699999999997</v>
      </c>
      <c r="I86" s="72"/>
      <c r="J86" s="84">
        <v>0</v>
      </c>
      <c r="K86" s="84"/>
      <c r="L86" s="84"/>
    </row>
    <row r="87" spans="2:12" s="85" customFormat="1" x14ac:dyDescent="0.25">
      <c r="B87" s="11"/>
      <c r="C87" s="11"/>
      <c r="D87" s="11"/>
      <c r="E87" s="11">
        <v>3292</v>
      </c>
      <c r="F87" s="11" t="s">
        <v>136</v>
      </c>
      <c r="G87" s="72">
        <f>(14712.6+1650.82)/7.5345</f>
        <v>2171.79905766806</v>
      </c>
      <c r="H87" s="72">
        <f>265.45+3981.68</f>
        <v>4247.13</v>
      </c>
      <c r="I87" s="72"/>
      <c r="J87" s="84">
        <v>1910.64</v>
      </c>
      <c r="K87" s="84">
        <f t="shared" si="2"/>
        <v>87.974989824865474</v>
      </c>
      <c r="L87" s="84"/>
    </row>
    <row r="88" spans="2:12" s="85" customFormat="1" x14ac:dyDescent="0.25">
      <c r="B88" s="11"/>
      <c r="C88" s="11"/>
      <c r="D88" s="11"/>
      <c r="E88" s="11">
        <v>3293</v>
      </c>
      <c r="F88" s="11" t="s">
        <v>137</v>
      </c>
      <c r="G88" s="72">
        <f>37102.68/7.5345</f>
        <v>4924.3718893091773</v>
      </c>
      <c r="H88" s="72">
        <f>5574.36+2182.49+9290.6</f>
        <v>17047.45</v>
      </c>
      <c r="I88" s="72"/>
      <c r="J88" s="84">
        <v>12570.84</v>
      </c>
      <c r="K88" s="84">
        <f t="shared" si="2"/>
        <v>255.27803916051349</v>
      </c>
      <c r="L88" s="84"/>
    </row>
    <row r="89" spans="2:12" s="85" customFormat="1" x14ac:dyDescent="0.25">
      <c r="B89" s="11"/>
      <c r="C89" s="11"/>
      <c r="D89" s="11"/>
      <c r="E89" s="11">
        <v>3294</v>
      </c>
      <c r="F89" s="11" t="s">
        <v>138</v>
      </c>
      <c r="G89" s="72">
        <f>(200+73528.67)/7.5345</f>
        <v>9785.476143075186</v>
      </c>
      <c r="H89" s="72">
        <f>1566.13+8892.43+1327.23</f>
        <v>11785.79</v>
      </c>
      <c r="I89" s="72"/>
      <c r="J89" s="84">
        <v>6765.5</v>
      </c>
      <c r="K89" s="84">
        <f t="shared" si="2"/>
        <v>69.138178879396577</v>
      </c>
      <c r="L89" s="84"/>
    </row>
    <row r="90" spans="2:12" s="85" customFormat="1" x14ac:dyDescent="0.25">
      <c r="B90" s="11"/>
      <c r="C90" s="11"/>
      <c r="D90" s="11"/>
      <c r="E90" s="11">
        <v>3295</v>
      </c>
      <c r="F90" s="11" t="s">
        <v>139</v>
      </c>
      <c r="G90" s="72">
        <f>(20+750+27687.5)/7.5345</f>
        <v>3776.9593204592206</v>
      </c>
      <c r="H90" s="72">
        <v>8494.26</v>
      </c>
      <c r="I90" s="72"/>
      <c r="J90" s="84">
        <f>92.89+3422.14+14.86+79.64</f>
        <v>3609.5299999999997</v>
      </c>
      <c r="K90" s="84">
        <f t="shared" si="2"/>
        <v>95.56708700694017</v>
      </c>
      <c r="L90" s="84"/>
    </row>
    <row r="91" spans="2:12" s="85" customFormat="1" x14ac:dyDescent="0.25">
      <c r="B91" s="11"/>
      <c r="C91" s="11"/>
      <c r="D91" s="11"/>
      <c r="E91" s="11">
        <v>3296</v>
      </c>
      <c r="F91" s="11" t="s">
        <v>140</v>
      </c>
      <c r="G91" s="72">
        <f>(17112.5+2082.42)/7.5345</f>
        <v>2547.6036896940736</v>
      </c>
      <c r="H91" s="72">
        <f>663.61+1327.23</f>
        <v>1990.8400000000001</v>
      </c>
      <c r="I91" s="72"/>
      <c r="J91" s="84">
        <v>1119.8499999999999</v>
      </c>
      <c r="K91" s="84">
        <f t="shared" si="2"/>
        <v>43.956993959860213</v>
      </c>
      <c r="L91" s="84"/>
    </row>
    <row r="92" spans="2:12" s="85" customFormat="1" x14ac:dyDescent="0.25">
      <c r="B92" s="11"/>
      <c r="C92" s="11"/>
      <c r="D92" s="11"/>
      <c r="E92" s="11">
        <v>3299</v>
      </c>
      <c r="F92" s="11" t="s">
        <v>135</v>
      </c>
      <c r="G92" s="72"/>
      <c r="H92" s="72">
        <f>3318.07+132.72</f>
        <v>3450.79</v>
      </c>
      <c r="I92" s="72"/>
      <c r="J92" s="84">
        <v>8395</v>
      </c>
      <c r="K92" s="84">
        <v>0</v>
      </c>
      <c r="L92" s="84"/>
    </row>
    <row r="93" spans="2:12" s="82" customFormat="1" x14ac:dyDescent="0.25">
      <c r="B93" s="22"/>
      <c r="C93" s="22">
        <v>34</v>
      </c>
      <c r="D93" s="22"/>
      <c r="E93" s="22"/>
      <c r="F93" s="22" t="s">
        <v>141</v>
      </c>
      <c r="G93" s="80">
        <f>SUM(G95:G98)</f>
        <v>3431.4752140155283</v>
      </c>
      <c r="H93" s="80">
        <f>H94</f>
        <v>5176.18</v>
      </c>
      <c r="I93" s="80"/>
      <c r="J93" s="81">
        <f>J94</f>
        <v>2216.7800000000002</v>
      </c>
      <c r="K93" s="81">
        <f t="shared" si="2"/>
        <v>64.601370015606605</v>
      </c>
      <c r="L93" s="81"/>
    </row>
    <row r="94" spans="2:12" s="82" customFormat="1" x14ac:dyDescent="0.25">
      <c r="B94" s="22"/>
      <c r="C94" s="22"/>
      <c r="D94" s="22">
        <v>343</v>
      </c>
      <c r="E94" s="22"/>
      <c r="F94" s="22" t="s">
        <v>146</v>
      </c>
      <c r="G94" s="80">
        <f>SUM(G95:G98)</f>
        <v>3431.4752140155283</v>
      </c>
      <c r="H94" s="80">
        <f>SUM(H95:H98)</f>
        <v>5176.18</v>
      </c>
      <c r="I94" s="80"/>
      <c r="J94" s="81">
        <f>SUM(J95:J97)</f>
        <v>2216.7800000000002</v>
      </c>
      <c r="K94" s="81">
        <f t="shared" si="2"/>
        <v>64.601370015606605</v>
      </c>
      <c r="L94" s="81"/>
    </row>
    <row r="95" spans="2:12" s="90" customFormat="1" x14ac:dyDescent="0.25">
      <c r="B95" s="11"/>
      <c r="C95" s="11"/>
      <c r="D95" s="11"/>
      <c r="E95" s="11">
        <v>3431</v>
      </c>
      <c r="F95" s="11" t="s">
        <v>142</v>
      </c>
      <c r="G95" s="72">
        <f>(10361.26+2325.58)/7.5345</f>
        <v>1683.8330347070143</v>
      </c>
      <c r="H95" s="72">
        <f>663.61+3318.07</f>
        <v>3981.6800000000003</v>
      </c>
      <c r="I95" s="72"/>
      <c r="J95" s="89">
        <f>1425.39+259.43</f>
        <v>1684.8200000000002</v>
      </c>
      <c r="K95" s="84">
        <f t="shared" si="2"/>
        <v>100.05861420180283</v>
      </c>
      <c r="L95" s="89"/>
    </row>
    <row r="96" spans="2:12" s="90" customFormat="1" ht="25.5" x14ac:dyDescent="0.25">
      <c r="B96" s="11"/>
      <c r="C96" s="11"/>
      <c r="D96" s="11"/>
      <c r="E96" s="11">
        <v>3432</v>
      </c>
      <c r="F96" s="29" t="s">
        <v>143</v>
      </c>
      <c r="G96" s="72">
        <f>778.02/7.5345</f>
        <v>103.26099940274736</v>
      </c>
      <c r="H96" s="72">
        <v>199.08</v>
      </c>
      <c r="I96" s="72"/>
      <c r="J96" s="89">
        <v>46.61</v>
      </c>
      <c r="K96" s="84">
        <f t="shared" si="2"/>
        <v>45.138048507750447</v>
      </c>
      <c r="L96" s="89"/>
    </row>
    <row r="97" spans="2:12" s="90" customFormat="1" x14ac:dyDescent="0.25">
      <c r="B97" s="11"/>
      <c r="C97" s="11"/>
      <c r="D97" s="11"/>
      <c r="E97" s="11">
        <v>3433</v>
      </c>
      <c r="F97" s="29" t="s">
        <v>144</v>
      </c>
      <c r="G97" s="72">
        <f>12082.57/7.5345</f>
        <v>1603.6326232663082</v>
      </c>
      <c r="H97" s="72">
        <f>66.36+265.45</f>
        <v>331.81</v>
      </c>
      <c r="I97" s="72"/>
      <c r="J97" s="89">
        <v>485.35</v>
      </c>
      <c r="K97" s="84">
        <f t="shared" si="2"/>
        <v>30.265660161704012</v>
      </c>
      <c r="L97" s="89"/>
    </row>
    <row r="98" spans="2:12" s="90" customFormat="1" x14ac:dyDescent="0.25">
      <c r="B98" s="11"/>
      <c r="C98" s="11"/>
      <c r="D98" s="11"/>
      <c r="E98" s="11">
        <v>3434</v>
      </c>
      <c r="F98" s="29" t="s">
        <v>145</v>
      </c>
      <c r="G98" s="72">
        <f>(307.01+0.01)/7.5345</f>
        <v>40.748556639458485</v>
      </c>
      <c r="H98" s="72">
        <v>663.61</v>
      </c>
      <c r="I98" s="72"/>
      <c r="J98" s="89">
        <v>0</v>
      </c>
      <c r="K98" s="84">
        <f t="shared" si="2"/>
        <v>0</v>
      </c>
      <c r="L98" s="89"/>
    </row>
    <row r="99" spans="2:12" s="88" customFormat="1" ht="25.5" x14ac:dyDescent="0.25">
      <c r="B99" s="22"/>
      <c r="C99" s="22">
        <v>37</v>
      </c>
      <c r="D99" s="22"/>
      <c r="E99" s="22"/>
      <c r="F99" s="79" t="s">
        <v>147</v>
      </c>
      <c r="G99" s="80">
        <f>G100</f>
        <v>1725.3965093901386</v>
      </c>
      <c r="H99" s="80">
        <f>H100</f>
        <v>1327.23</v>
      </c>
      <c r="I99" s="80"/>
      <c r="J99" s="87">
        <v>0</v>
      </c>
      <c r="K99" s="84">
        <f t="shared" si="2"/>
        <v>0</v>
      </c>
      <c r="L99" s="87"/>
    </row>
    <row r="100" spans="2:12" s="88" customFormat="1" ht="25.5" x14ac:dyDescent="0.25">
      <c r="B100" s="22"/>
      <c r="C100" s="22"/>
      <c r="D100" s="22">
        <v>372</v>
      </c>
      <c r="E100" s="22"/>
      <c r="F100" s="79" t="s">
        <v>148</v>
      </c>
      <c r="G100" s="80">
        <f>G101</f>
        <v>1725.3965093901386</v>
      </c>
      <c r="H100" s="80">
        <f>H101</f>
        <v>1327.23</v>
      </c>
      <c r="I100" s="80"/>
      <c r="J100" s="87">
        <v>0</v>
      </c>
      <c r="K100" s="84">
        <f t="shared" si="2"/>
        <v>0</v>
      </c>
      <c r="L100" s="87"/>
    </row>
    <row r="101" spans="2:12" s="88" customFormat="1" x14ac:dyDescent="0.25">
      <c r="B101" s="22"/>
      <c r="C101" s="22"/>
      <c r="D101" s="22"/>
      <c r="E101" s="11">
        <v>3721</v>
      </c>
      <c r="F101" s="29" t="s">
        <v>149</v>
      </c>
      <c r="G101" s="72">
        <f>13000/7.5345</f>
        <v>1725.3965093901386</v>
      </c>
      <c r="H101" s="72">
        <v>1327.23</v>
      </c>
      <c r="I101" s="80"/>
      <c r="J101" s="87">
        <v>0</v>
      </c>
      <c r="K101" s="81">
        <f t="shared" si="2"/>
        <v>0</v>
      </c>
      <c r="L101" s="87"/>
    </row>
    <row r="102" spans="2:12" x14ac:dyDescent="0.25">
      <c r="B102" s="13">
        <v>4</v>
      </c>
      <c r="C102" s="14"/>
      <c r="D102" s="14"/>
      <c r="E102" s="14"/>
      <c r="F102" s="20" t="s">
        <v>6</v>
      </c>
      <c r="G102" s="80">
        <f>G108+G119</f>
        <v>343282.52704227215</v>
      </c>
      <c r="H102" s="80">
        <f>H103+H108+H119+H122</f>
        <v>4159240.2899999996</v>
      </c>
      <c r="I102" s="72"/>
      <c r="J102" s="87">
        <f>J103+J108+J119+J122</f>
        <v>7535681.7300000004</v>
      </c>
      <c r="K102" s="81">
        <f t="shared" ref="K102" si="3">J102/G102*100</f>
        <v>2195.1835984568038</v>
      </c>
      <c r="L102" s="73"/>
    </row>
    <row r="103" spans="2:12" ht="25.5" x14ac:dyDescent="0.25">
      <c r="B103" s="13"/>
      <c r="C103" s="14">
        <v>41</v>
      </c>
      <c r="D103" s="14"/>
      <c r="E103" s="14"/>
      <c r="F103" s="20" t="s">
        <v>161</v>
      </c>
      <c r="G103" s="80">
        <v>0</v>
      </c>
      <c r="H103" s="80">
        <f>H104+H106</f>
        <v>9768.86</v>
      </c>
      <c r="I103" s="72"/>
      <c r="J103" s="81">
        <f>J104</f>
        <v>2487.89</v>
      </c>
      <c r="K103" s="84"/>
      <c r="L103" s="73"/>
    </row>
    <row r="104" spans="2:12" x14ac:dyDescent="0.25">
      <c r="B104" s="13"/>
      <c r="C104" s="14"/>
      <c r="D104" s="14">
        <v>411</v>
      </c>
      <c r="E104" s="14"/>
      <c r="F104" s="20" t="s">
        <v>162</v>
      </c>
      <c r="G104" s="80">
        <v>0</v>
      </c>
      <c r="H104" s="80">
        <f>H105</f>
        <v>3000</v>
      </c>
      <c r="I104" s="72"/>
      <c r="J104" s="81">
        <f>J105</f>
        <v>2487.89</v>
      </c>
      <c r="K104" s="84"/>
      <c r="L104" s="73"/>
    </row>
    <row r="105" spans="2:12" s="85" customFormat="1" x14ac:dyDescent="0.25">
      <c r="B105" s="16"/>
      <c r="C105" s="91"/>
      <c r="D105" s="91"/>
      <c r="E105" s="91">
        <v>4111</v>
      </c>
      <c r="F105" s="21" t="s">
        <v>163</v>
      </c>
      <c r="G105" s="72">
        <v>0</v>
      </c>
      <c r="H105" s="72">
        <v>3000</v>
      </c>
      <c r="I105" s="72"/>
      <c r="J105" s="84">
        <v>2487.89</v>
      </c>
      <c r="K105" s="84"/>
      <c r="L105" s="84"/>
    </row>
    <row r="106" spans="2:12" x14ac:dyDescent="0.25">
      <c r="B106" s="13"/>
      <c r="C106" s="14"/>
      <c r="D106" s="14">
        <v>412</v>
      </c>
      <c r="E106" s="14"/>
      <c r="F106" s="20" t="s">
        <v>164</v>
      </c>
      <c r="G106" s="80">
        <v>0</v>
      </c>
      <c r="H106" s="80">
        <f>H107</f>
        <v>6768.8600000000006</v>
      </c>
      <c r="I106" s="72"/>
      <c r="J106" s="73">
        <v>0</v>
      </c>
      <c r="K106" s="84"/>
      <c r="L106" s="73"/>
    </row>
    <row r="107" spans="2:12" s="85" customFormat="1" x14ac:dyDescent="0.25">
      <c r="B107" s="16"/>
      <c r="C107" s="91"/>
      <c r="D107" s="91"/>
      <c r="E107" s="91">
        <v>4123</v>
      </c>
      <c r="F107" s="21" t="s">
        <v>165</v>
      </c>
      <c r="G107" s="72">
        <v>0</v>
      </c>
      <c r="H107" s="72">
        <f>132.72+6636.14</f>
        <v>6768.8600000000006</v>
      </c>
      <c r="I107" s="72"/>
      <c r="J107" s="84">
        <v>0</v>
      </c>
      <c r="K107" s="84"/>
      <c r="L107" s="84"/>
    </row>
    <row r="108" spans="2:12" ht="25.5" x14ac:dyDescent="0.25">
      <c r="B108" s="13"/>
      <c r="C108" s="14">
        <v>42</v>
      </c>
      <c r="D108" s="14"/>
      <c r="E108" s="14"/>
      <c r="F108" s="20" t="s">
        <v>150</v>
      </c>
      <c r="G108" s="80">
        <f>G109</f>
        <v>335581.07638197619</v>
      </c>
      <c r="H108" s="80">
        <f>H109+H115+H117</f>
        <v>196429.75</v>
      </c>
      <c r="I108" s="72"/>
      <c r="J108" s="81">
        <f>J109+J115</f>
        <v>298885.34999999998</v>
      </c>
      <c r="K108" s="81">
        <f t="shared" si="2"/>
        <v>89.065019166871267</v>
      </c>
      <c r="L108" s="73"/>
    </row>
    <row r="109" spans="2:12" s="82" customFormat="1" x14ac:dyDescent="0.25">
      <c r="B109" s="13"/>
      <c r="C109" s="14"/>
      <c r="D109" s="14">
        <v>422</v>
      </c>
      <c r="E109" s="14"/>
      <c r="F109" s="20" t="s">
        <v>151</v>
      </c>
      <c r="G109" s="80">
        <f>SUM(G110:G114)</f>
        <v>335581.07638197619</v>
      </c>
      <c r="H109" s="80">
        <f>SUM(H110:H114)</f>
        <v>184418.34</v>
      </c>
      <c r="I109" s="80"/>
      <c r="J109" s="81">
        <f>SUM(J110:J114)</f>
        <v>295679.49</v>
      </c>
      <c r="K109" s="81">
        <f t="shared" si="2"/>
        <v>88.109703082137415</v>
      </c>
      <c r="L109" s="81"/>
    </row>
    <row r="110" spans="2:12" s="85" customFormat="1" x14ac:dyDescent="0.25">
      <c r="B110" s="16"/>
      <c r="C110" s="91"/>
      <c r="D110" s="91"/>
      <c r="E110" s="91">
        <v>4221</v>
      </c>
      <c r="F110" s="21" t="s">
        <v>152</v>
      </c>
      <c r="G110" s="72">
        <f>(976859.46+1530215.15)/7.5345</f>
        <v>332745.98314420332</v>
      </c>
      <c r="H110" s="72">
        <f>54416.35+79633.69+6636.14</f>
        <v>140686.18000000002</v>
      </c>
      <c r="I110" s="72"/>
      <c r="J110" s="84">
        <f>110141.69+169260.02</f>
        <v>279401.70999999996</v>
      </c>
      <c r="K110" s="84">
        <f t="shared" si="2"/>
        <v>83.968469689659528</v>
      </c>
      <c r="L110" s="84"/>
    </row>
    <row r="111" spans="2:12" s="85" customFormat="1" x14ac:dyDescent="0.25">
      <c r="B111" s="16"/>
      <c r="C111" s="91"/>
      <c r="D111" s="91"/>
      <c r="E111" s="91">
        <v>4222</v>
      </c>
      <c r="F111" s="21" t="s">
        <v>166</v>
      </c>
      <c r="G111" s="72"/>
      <c r="H111" s="72">
        <v>4313.49</v>
      </c>
      <c r="I111" s="72"/>
      <c r="J111" s="84">
        <v>3036</v>
      </c>
      <c r="K111" s="84"/>
      <c r="L111" s="84"/>
    </row>
    <row r="112" spans="2:12" s="85" customFormat="1" x14ac:dyDescent="0.25">
      <c r="B112" s="16"/>
      <c r="C112" s="91"/>
      <c r="D112" s="91"/>
      <c r="E112" s="91">
        <v>4223</v>
      </c>
      <c r="F112" s="21" t="s">
        <v>153</v>
      </c>
      <c r="G112" s="72">
        <f>1225/7.5345</f>
        <v>162.58544030791691</v>
      </c>
      <c r="H112" s="72">
        <f>14201.34+3981.68</f>
        <v>18183.02</v>
      </c>
      <c r="I112" s="72"/>
      <c r="J112" s="84">
        <v>7084.08</v>
      </c>
      <c r="K112" s="84">
        <f t="shared" si="2"/>
        <v>4357.1429191836733</v>
      </c>
      <c r="L112" s="84"/>
    </row>
    <row r="113" spans="2:12" s="85" customFormat="1" x14ac:dyDescent="0.25">
      <c r="B113" s="16"/>
      <c r="C113" s="91"/>
      <c r="D113" s="91"/>
      <c r="E113" s="91">
        <v>4225</v>
      </c>
      <c r="F113" s="21" t="s">
        <v>154</v>
      </c>
      <c r="G113" s="72">
        <f>14986.01/7.5345</f>
        <v>1988.98533412967</v>
      </c>
      <c r="H113" s="72">
        <f>7830.65+3981.68</f>
        <v>11812.33</v>
      </c>
      <c r="I113" s="72"/>
      <c r="J113" s="84">
        <f>1846.51+2482.5</f>
        <v>4329.01</v>
      </c>
      <c r="K113" s="84">
        <f t="shared" ref="K113:K121" si="4">J113/G113*100</f>
        <v>217.64916642255011</v>
      </c>
      <c r="L113" s="84"/>
    </row>
    <row r="114" spans="2:12" s="85" customFormat="1" x14ac:dyDescent="0.25">
      <c r="B114" s="16"/>
      <c r="C114" s="91"/>
      <c r="D114" s="91"/>
      <c r="E114" s="91">
        <v>4227</v>
      </c>
      <c r="F114" s="21" t="s">
        <v>155</v>
      </c>
      <c r="G114" s="72">
        <f>5150/7.5345</f>
        <v>683.52246333532412</v>
      </c>
      <c r="H114" s="72">
        <f>2787.18+6636.14</f>
        <v>9423.32</v>
      </c>
      <c r="I114" s="72"/>
      <c r="J114" s="84">
        <v>1828.69</v>
      </c>
      <c r="K114" s="84">
        <f t="shared" si="4"/>
        <v>267.53912242718451</v>
      </c>
      <c r="L114" s="84"/>
    </row>
    <row r="115" spans="2:12" s="82" customFormat="1" ht="25.5" x14ac:dyDescent="0.25">
      <c r="B115" s="13"/>
      <c r="C115" s="14"/>
      <c r="D115" s="14">
        <v>424</v>
      </c>
      <c r="E115" s="14"/>
      <c r="F115" s="20" t="s">
        <v>167</v>
      </c>
      <c r="G115" s="80">
        <v>0</v>
      </c>
      <c r="H115" s="80">
        <f>H116</f>
        <v>5375.27</v>
      </c>
      <c r="I115" s="80"/>
      <c r="J115" s="81">
        <f>J116</f>
        <v>3205.86</v>
      </c>
      <c r="K115" s="84"/>
      <c r="L115" s="81"/>
    </row>
    <row r="116" spans="2:12" s="85" customFormat="1" x14ac:dyDescent="0.25">
      <c r="B116" s="16"/>
      <c r="C116" s="91"/>
      <c r="D116" s="91"/>
      <c r="E116" s="91">
        <v>4241</v>
      </c>
      <c r="F116" s="21" t="s">
        <v>168</v>
      </c>
      <c r="G116" s="72">
        <v>0</v>
      </c>
      <c r="H116" s="72">
        <v>5375.27</v>
      </c>
      <c r="I116" s="72"/>
      <c r="J116" s="84">
        <v>3205.86</v>
      </c>
      <c r="K116" s="84"/>
      <c r="L116" s="84"/>
    </row>
    <row r="117" spans="2:12" s="82" customFormat="1" x14ac:dyDescent="0.25">
      <c r="B117" s="13"/>
      <c r="C117" s="14"/>
      <c r="D117" s="14">
        <v>426</v>
      </c>
      <c r="E117" s="14"/>
      <c r="F117" s="20" t="s">
        <v>169</v>
      </c>
      <c r="G117" s="80">
        <v>0</v>
      </c>
      <c r="H117" s="80">
        <f>H118</f>
        <v>6636.14</v>
      </c>
      <c r="I117" s="80"/>
      <c r="J117" s="81">
        <v>0</v>
      </c>
      <c r="K117" s="84"/>
      <c r="L117" s="81"/>
    </row>
    <row r="118" spans="2:12" s="85" customFormat="1" x14ac:dyDescent="0.25">
      <c r="B118" s="16"/>
      <c r="C118" s="91"/>
      <c r="D118" s="91"/>
      <c r="E118" s="91">
        <v>4262</v>
      </c>
      <c r="F118" s="21" t="s">
        <v>170</v>
      </c>
      <c r="G118" s="72">
        <v>0</v>
      </c>
      <c r="H118" s="72">
        <v>6636.14</v>
      </c>
      <c r="I118" s="72"/>
      <c r="J118" s="84">
        <v>0</v>
      </c>
      <c r="K118" s="84"/>
      <c r="L118" s="84"/>
    </row>
    <row r="119" spans="2:12" s="82" customFormat="1" ht="27" customHeight="1" x14ac:dyDescent="0.25">
      <c r="B119" s="10"/>
      <c r="C119" s="10">
        <v>43</v>
      </c>
      <c r="D119" s="10"/>
      <c r="E119" s="10"/>
      <c r="F119" s="20" t="s">
        <v>156</v>
      </c>
      <c r="G119" s="80">
        <f>G120</f>
        <v>7701.4506602959718</v>
      </c>
      <c r="H119" s="80">
        <f>H120</f>
        <v>40439.65</v>
      </c>
      <c r="I119" s="92"/>
      <c r="J119" s="81">
        <f>J120</f>
        <v>28362.589999999997</v>
      </c>
      <c r="K119" s="81">
        <f t="shared" si="4"/>
        <v>368.27594243017592</v>
      </c>
      <c r="L119" s="81"/>
    </row>
    <row r="120" spans="2:12" s="82" customFormat="1" x14ac:dyDescent="0.25">
      <c r="B120" s="10"/>
      <c r="C120" s="10"/>
      <c r="D120" s="22">
        <v>431</v>
      </c>
      <c r="E120" s="22"/>
      <c r="F120" s="22" t="s">
        <v>157</v>
      </c>
      <c r="G120" s="80">
        <f>G121</f>
        <v>7701.4506602959718</v>
      </c>
      <c r="H120" s="80">
        <f>H121</f>
        <v>40439.65</v>
      </c>
      <c r="I120" s="92"/>
      <c r="J120" s="81">
        <f>J121</f>
        <v>28362.589999999997</v>
      </c>
      <c r="K120" s="81">
        <f t="shared" si="4"/>
        <v>368.27594243017592</v>
      </c>
      <c r="L120" s="81"/>
    </row>
    <row r="121" spans="2:12" s="82" customFormat="1" ht="42.75" customHeight="1" x14ac:dyDescent="0.25">
      <c r="B121" s="10"/>
      <c r="C121" s="10"/>
      <c r="D121" s="11"/>
      <c r="E121" s="11">
        <v>4312</v>
      </c>
      <c r="F121" s="86" t="s">
        <v>158</v>
      </c>
      <c r="G121" s="72">
        <f>(7826.58+38600+11600)/7.5345</f>
        <v>7701.4506602959718</v>
      </c>
      <c r="H121" s="72">
        <f>21235.65+19204</f>
        <v>40439.65</v>
      </c>
      <c r="I121" s="92"/>
      <c r="J121" s="84">
        <f>9980.49+18382.1</f>
        <v>28362.589999999997</v>
      </c>
      <c r="K121" s="84">
        <f t="shared" si="4"/>
        <v>368.27594243017592</v>
      </c>
      <c r="L121" s="81"/>
    </row>
    <row r="122" spans="2:12" s="82" customFormat="1" ht="35.25" customHeight="1" x14ac:dyDescent="0.25">
      <c r="B122" s="10"/>
      <c r="C122" s="10">
        <v>45</v>
      </c>
      <c r="D122" s="11"/>
      <c r="E122" s="11"/>
      <c r="F122" s="97" t="s">
        <v>171</v>
      </c>
      <c r="G122" s="80">
        <v>0</v>
      </c>
      <c r="H122" s="80">
        <f>H123+H125</f>
        <v>3912602.03</v>
      </c>
      <c r="I122" s="92"/>
      <c r="J122" s="81">
        <f>J123</f>
        <v>7205945.9000000004</v>
      </c>
      <c r="K122" s="84"/>
      <c r="L122" s="81"/>
    </row>
    <row r="123" spans="2:12" s="82" customFormat="1" x14ac:dyDescent="0.25">
      <c r="B123" s="10"/>
      <c r="C123" s="10"/>
      <c r="D123" s="22">
        <v>451</v>
      </c>
      <c r="E123" s="22"/>
      <c r="F123" s="22" t="s">
        <v>172</v>
      </c>
      <c r="G123" s="80">
        <v>0</v>
      </c>
      <c r="H123" s="80">
        <f>H124</f>
        <v>3899329.75</v>
      </c>
      <c r="I123" s="92"/>
      <c r="J123" s="81">
        <f>J124</f>
        <v>7205945.9000000004</v>
      </c>
      <c r="K123" s="84"/>
      <c r="L123" s="81"/>
    </row>
    <row r="124" spans="2:12" s="82" customFormat="1" x14ac:dyDescent="0.25">
      <c r="B124" s="10"/>
      <c r="C124" s="10"/>
      <c r="D124" s="22"/>
      <c r="E124" s="29">
        <v>4511</v>
      </c>
      <c r="F124" s="86" t="s">
        <v>172</v>
      </c>
      <c r="G124" s="80">
        <v>0</v>
      </c>
      <c r="H124" s="72">
        <f>265445.62+13272.28+3620611.85</f>
        <v>3899329.75</v>
      </c>
      <c r="I124" s="76"/>
      <c r="J124" s="84">
        <f>5765216.21+1440729.69</f>
        <v>7205945.9000000004</v>
      </c>
      <c r="K124" s="84"/>
      <c r="L124" s="84"/>
    </row>
    <row r="125" spans="2:12" s="82" customFormat="1" x14ac:dyDescent="0.25">
      <c r="B125" s="10"/>
      <c r="C125" s="10"/>
      <c r="D125" s="22">
        <v>452</v>
      </c>
      <c r="E125" s="22"/>
      <c r="F125" s="22" t="s">
        <v>173</v>
      </c>
      <c r="G125" s="80">
        <v>0</v>
      </c>
      <c r="H125" s="80">
        <f>H126</f>
        <v>13272.28</v>
      </c>
      <c r="I125" s="92"/>
      <c r="J125" s="81">
        <v>0</v>
      </c>
      <c r="K125" s="84"/>
      <c r="L125" s="81"/>
    </row>
    <row r="126" spans="2:12" s="96" customFormat="1" ht="18" customHeight="1" x14ac:dyDescent="0.25">
      <c r="B126" s="15"/>
      <c r="C126" s="15" t="s">
        <v>16</v>
      </c>
      <c r="D126" s="29"/>
      <c r="E126" s="29">
        <v>4521</v>
      </c>
      <c r="F126" s="86" t="s">
        <v>173</v>
      </c>
      <c r="G126" s="94">
        <v>0</v>
      </c>
      <c r="H126" s="94">
        <v>13272.28</v>
      </c>
      <c r="I126" s="76"/>
      <c r="J126" s="95">
        <v>0</v>
      </c>
      <c r="K126" s="84"/>
      <c r="L126" s="95"/>
    </row>
    <row r="129" spans="2:12" ht="15" customHeight="1" x14ac:dyDescent="0.25">
      <c r="B129" s="39"/>
      <c r="C129" s="39"/>
      <c r="D129" s="39"/>
      <c r="E129" s="39"/>
      <c r="F129" s="39"/>
      <c r="G129" s="77"/>
      <c r="H129" s="77"/>
      <c r="I129" s="77"/>
      <c r="J129" s="77"/>
      <c r="K129" s="77"/>
      <c r="L129" s="77"/>
    </row>
    <row r="130" spans="2:12" x14ac:dyDescent="0.25">
      <c r="B130" s="39"/>
      <c r="C130" s="39"/>
      <c r="D130" s="39"/>
      <c r="E130" s="39"/>
      <c r="F130" s="39"/>
      <c r="G130" s="77"/>
      <c r="H130" s="77"/>
      <c r="I130" s="77"/>
      <c r="J130" s="77"/>
      <c r="K130" s="77"/>
      <c r="L130" s="77"/>
    </row>
    <row r="131" spans="2:12" ht="4.5" customHeight="1" x14ac:dyDescent="0.25">
      <c r="B131" s="39"/>
      <c r="C131" s="39"/>
      <c r="D131" s="39"/>
      <c r="E131" s="39"/>
      <c r="F131" s="39"/>
      <c r="G131" s="77"/>
      <c r="H131" s="77"/>
      <c r="I131" s="77"/>
      <c r="J131" s="77"/>
      <c r="K131" s="77"/>
      <c r="L131" s="77"/>
    </row>
  </sheetData>
  <mergeCells count="7">
    <mergeCell ref="B2:L2"/>
    <mergeCell ref="B4:L4"/>
    <mergeCell ref="B6:L6"/>
    <mergeCell ref="B47:F47"/>
    <mergeCell ref="B9:F9"/>
    <mergeCell ref="B46:F46"/>
    <mergeCell ref="B8:F8"/>
  </mergeCells>
  <pageMargins left="0.7" right="0.7" top="0.75" bottom="0.75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B9" sqref="B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4"/>
      <c r="G1" s="4"/>
      <c r="H1" s="4"/>
    </row>
    <row r="2" spans="2:8" ht="15.75" customHeight="1" x14ac:dyDescent="0.25">
      <c r="B2" s="120" t="s">
        <v>47</v>
      </c>
      <c r="C2" s="120"/>
      <c r="D2" s="120"/>
      <c r="E2" s="120"/>
      <c r="F2" s="120"/>
      <c r="G2" s="120"/>
      <c r="H2" s="120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5" t="s">
        <v>7</v>
      </c>
      <c r="C4" s="45" t="s">
        <v>70</v>
      </c>
      <c r="D4" s="45" t="s">
        <v>63</v>
      </c>
      <c r="E4" s="45" t="s">
        <v>60</v>
      </c>
      <c r="F4" s="45" t="s">
        <v>71</v>
      </c>
      <c r="G4" s="45" t="s">
        <v>30</v>
      </c>
      <c r="H4" s="45" t="s">
        <v>61</v>
      </c>
    </row>
    <row r="5" spans="2:8" x14ac:dyDescent="0.25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 t="s">
        <v>43</v>
      </c>
      <c r="H5" s="49" t="s">
        <v>44</v>
      </c>
    </row>
    <row r="6" spans="2:8" x14ac:dyDescent="0.25">
      <c r="B6" s="10" t="s">
        <v>58</v>
      </c>
      <c r="C6" s="80">
        <f>C7</f>
        <v>2369442.25</v>
      </c>
      <c r="D6" s="80">
        <f>D7</f>
        <v>8721397.7599999998</v>
      </c>
      <c r="E6" s="72"/>
      <c r="F6" s="81">
        <f>F7</f>
        <v>9743074.9600000009</v>
      </c>
      <c r="G6" s="81">
        <f t="shared" ref="G6:G8" si="0">F6/C6*100</f>
        <v>411.1969793735214</v>
      </c>
      <c r="H6" s="73"/>
    </row>
    <row r="7" spans="2:8" x14ac:dyDescent="0.25">
      <c r="B7" s="10" t="s">
        <v>181</v>
      </c>
      <c r="C7" s="80">
        <f>C8</f>
        <v>2369442.25</v>
      </c>
      <c r="D7" s="80">
        <f>D8</f>
        <v>8721397.7599999998</v>
      </c>
      <c r="E7" s="76"/>
      <c r="F7" s="81">
        <f>F8</f>
        <v>9743074.9600000009</v>
      </c>
      <c r="G7" s="81">
        <f t="shared" si="0"/>
        <v>411.1969793735214</v>
      </c>
      <c r="H7" s="73"/>
    </row>
    <row r="8" spans="2:8" x14ac:dyDescent="0.25">
      <c r="B8" s="17" t="s">
        <v>182</v>
      </c>
      <c r="C8" s="72">
        <v>2369442.25</v>
      </c>
      <c r="D8" s="72">
        <v>8721397.7599999998</v>
      </c>
      <c r="E8" s="76"/>
      <c r="F8" s="73">
        <v>9743074.9600000009</v>
      </c>
      <c r="G8" s="73">
        <f t="shared" si="0"/>
        <v>411.1969793735214</v>
      </c>
      <c r="H8" s="73"/>
    </row>
    <row r="9" spans="2:8" x14ac:dyDescent="0.25">
      <c r="B9" s="15" t="s">
        <v>16</v>
      </c>
      <c r="C9" s="72"/>
      <c r="D9" s="72"/>
      <c r="E9" s="76"/>
      <c r="F9" s="73"/>
      <c r="G9" s="73"/>
      <c r="H9" s="73"/>
    </row>
    <row r="10" spans="2:8" x14ac:dyDescent="0.25">
      <c r="C10" s="78"/>
      <c r="D10" s="78"/>
      <c r="E10" s="78"/>
      <c r="F10" s="78"/>
      <c r="G10" s="78"/>
      <c r="H10" s="78"/>
    </row>
    <row r="11" spans="2:8" x14ac:dyDescent="0.25">
      <c r="B11" s="39"/>
      <c r="C11" s="39"/>
      <c r="D11" s="39"/>
      <c r="E11" s="39"/>
      <c r="F11" s="39"/>
      <c r="G11" s="39"/>
      <c r="H11" s="39"/>
    </row>
    <row r="12" spans="2:8" x14ac:dyDescent="0.25">
      <c r="B12" s="39"/>
      <c r="C12" s="39"/>
      <c r="D12" s="39"/>
      <c r="E12" s="39"/>
      <c r="F12" s="39"/>
      <c r="G12" s="39"/>
      <c r="H12" s="39"/>
    </row>
    <row r="13" spans="2:8" x14ac:dyDescent="0.25">
      <c r="B13" s="39"/>
      <c r="C13" s="39"/>
      <c r="D13" s="39"/>
      <c r="E13" s="39"/>
      <c r="F13" s="39"/>
      <c r="G13" s="39"/>
      <c r="H13" s="3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G22" sqref="G2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19"/>
      <c r="E1" s="3"/>
      <c r="F1" s="3"/>
      <c r="G1" s="3"/>
      <c r="H1" s="3"/>
      <c r="I1" s="3"/>
      <c r="J1" s="3"/>
      <c r="K1" s="3"/>
      <c r="L1" s="19"/>
    </row>
    <row r="2" spans="2:12" ht="15.75" customHeight="1" x14ac:dyDescent="0.25">
      <c r="B2" s="120" t="s">
        <v>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8" x14ac:dyDescent="0.25">
      <c r="B3" s="3"/>
      <c r="C3" s="3"/>
      <c r="D3" s="19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2:12" ht="15.75" customHeight="1" x14ac:dyDescent="0.25">
      <c r="B5" s="120" t="s">
        <v>48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2:12" ht="18" x14ac:dyDescent="0.25">
      <c r="B6" s="3"/>
      <c r="C6" s="3"/>
      <c r="D6" s="19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47" t="s">
        <v>7</v>
      </c>
      <c r="C7" s="148"/>
      <c r="D7" s="148"/>
      <c r="E7" s="148"/>
      <c r="F7" s="149"/>
      <c r="G7" s="50" t="s">
        <v>28</v>
      </c>
      <c r="H7" s="50" t="s">
        <v>63</v>
      </c>
      <c r="I7" s="50" t="s">
        <v>60</v>
      </c>
      <c r="J7" s="50" t="s">
        <v>29</v>
      </c>
      <c r="K7" s="50" t="s">
        <v>30</v>
      </c>
      <c r="L7" s="50" t="s">
        <v>61</v>
      </c>
    </row>
    <row r="8" spans="2:12" x14ac:dyDescent="0.25">
      <c r="B8" s="147">
        <v>1</v>
      </c>
      <c r="C8" s="148"/>
      <c r="D8" s="148"/>
      <c r="E8" s="148"/>
      <c r="F8" s="149"/>
      <c r="G8" s="51">
        <v>2</v>
      </c>
      <c r="H8" s="51">
        <v>3</v>
      </c>
      <c r="I8" s="51">
        <v>4</v>
      </c>
      <c r="J8" s="51">
        <v>5</v>
      </c>
      <c r="K8" s="51" t="s">
        <v>43</v>
      </c>
      <c r="L8" s="51" t="s">
        <v>44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8"/>
      <c r="H9" s="8"/>
      <c r="I9" s="8"/>
      <c r="J9" s="36"/>
      <c r="K9" s="36"/>
      <c r="L9" s="36"/>
    </row>
    <row r="10" spans="2:12" x14ac:dyDescent="0.25">
      <c r="B10" s="10"/>
      <c r="C10" s="15">
        <v>84</v>
      </c>
      <c r="D10" s="15"/>
      <c r="E10" s="15"/>
      <c r="F10" s="15" t="s">
        <v>13</v>
      </c>
      <c r="G10" s="8"/>
      <c r="H10" s="8"/>
      <c r="I10" s="8"/>
      <c r="J10" s="36"/>
      <c r="K10" s="36"/>
      <c r="L10" s="36"/>
    </row>
    <row r="11" spans="2:12" ht="51" x14ac:dyDescent="0.25">
      <c r="B11" s="11"/>
      <c r="C11" s="11"/>
      <c r="D11" s="11">
        <v>841</v>
      </c>
      <c r="E11" s="11"/>
      <c r="F11" s="29" t="s">
        <v>49</v>
      </c>
      <c r="G11" s="8"/>
      <c r="H11" s="8"/>
      <c r="I11" s="8"/>
      <c r="J11" s="36"/>
      <c r="K11" s="36"/>
      <c r="L11" s="36"/>
    </row>
    <row r="12" spans="2:12" ht="25.5" x14ac:dyDescent="0.25">
      <c r="B12" s="11"/>
      <c r="C12" s="11"/>
      <c r="D12" s="11"/>
      <c r="E12" s="11">
        <v>8413</v>
      </c>
      <c r="F12" s="29" t="s">
        <v>50</v>
      </c>
      <c r="G12" s="8"/>
      <c r="H12" s="8"/>
      <c r="I12" s="8"/>
      <c r="J12" s="36"/>
      <c r="K12" s="36"/>
      <c r="L12" s="36"/>
    </row>
    <row r="13" spans="2:12" x14ac:dyDescent="0.25">
      <c r="B13" s="11"/>
      <c r="C13" s="11"/>
      <c r="D13" s="11"/>
      <c r="E13" s="12" t="s">
        <v>22</v>
      </c>
      <c r="F13" s="17"/>
      <c r="G13" s="8"/>
      <c r="H13" s="8"/>
      <c r="I13" s="8"/>
      <c r="J13" s="36"/>
      <c r="K13" s="36"/>
      <c r="L13" s="36"/>
    </row>
    <row r="14" spans="2:12" ht="25.5" x14ac:dyDescent="0.25">
      <c r="B14" s="13">
        <v>5</v>
      </c>
      <c r="C14" s="14"/>
      <c r="D14" s="14"/>
      <c r="E14" s="14"/>
      <c r="F14" s="20" t="s">
        <v>9</v>
      </c>
      <c r="G14" s="8"/>
      <c r="H14" s="8"/>
      <c r="I14" s="8"/>
      <c r="J14" s="36"/>
      <c r="K14" s="36"/>
      <c r="L14" s="36"/>
    </row>
    <row r="15" spans="2:12" ht="25.5" x14ac:dyDescent="0.25">
      <c r="B15" s="15"/>
      <c r="C15" s="15">
        <v>54</v>
      </c>
      <c r="D15" s="15"/>
      <c r="E15" s="15"/>
      <c r="F15" s="21" t="s">
        <v>14</v>
      </c>
      <c r="G15" s="8"/>
      <c r="H15" s="8"/>
      <c r="I15" s="9"/>
      <c r="J15" s="36"/>
      <c r="K15" s="36"/>
      <c r="L15" s="36"/>
    </row>
    <row r="16" spans="2:12" ht="63.75" x14ac:dyDescent="0.25">
      <c r="B16" s="15"/>
      <c r="C16" s="15"/>
      <c r="D16" s="15">
        <v>541</v>
      </c>
      <c r="E16" s="29"/>
      <c r="F16" s="29" t="s">
        <v>51</v>
      </c>
      <c r="G16" s="8"/>
      <c r="H16" s="8"/>
      <c r="I16" s="9"/>
      <c r="J16" s="36"/>
      <c r="K16" s="36"/>
      <c r="L16" s="36"/>
    </row>
    <row r="17" spans="2:12" ht="38.25" x14ac:dyDescent="0.25">
      <c r="B17" s="15"/>
      <c r="C17" s="15"/>
      <c r="D17" s="15"/>
      <c r="E17" s="29">
        <v>5413</v>
      </c>
      <c r="F17" s="29" t="s">
        <v>52</v>
      </c>
      <c r="G17" s="8"/>
      <c r="H17" s="8"/>
      <c r="I17" s="9"/>
      <c r="J17" s="36"/>
      <c r="K17" s="36"/>
      <c r="L17" s="36"/>
    </row>
    <row r="18" spans="2:12" x14ac:dyDescent="0.25">
      <c r="B18" s="16"/>
      <c r="C18" s="14"/>
      <c r="D18" s="14"/>
      <c r="E18" s="14"/>
      <c r="F18" s="20" t="s">
        <v>22</v>
      </c>
      <c r="G18" s="8"/>
      <c r="H18" s="8"/>
      <c r="I18" s="8"/>
      <c r="J18" s="36"/>
      <c r="K18" s="36"/>
      <c r="L18" s="36"/>
    </row>
    <row r="20" spans="2:12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2:12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2:12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topLeftCell="A19" workbookViewId="0">
      <selection activeCell="E32" sqref="E3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4"/>
      <c r="G1" s="4"/>
      <c r="H1" s="4"/>
    </row>
    <row r="2" spans="2:8" ht="15.75" customHeight="1" x14ac:dyDescent="0.25">
      <c r="B2" s="120" t="s">
        <v>53</v>
      </c>
      <c r="C2" s="120"/>
      <c r="D2" s="120"/>
      <c r="E2" s="120"/>
      <c r="F2" s="120"/>
      <c r="G2" s="120"/>
      <c r="H2" s="120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5" t="s">
        <v>7</v>
      </c>
      <c r="C4" s="45" t="s">
        <v>67</v>
      </c>
      <c r="D4" s="45" t="s">
        <v>63</v>
      </c>
      <c r="E4" s="45" t="s">
        <v>60</v>
      </c>
      <c r="F4" s="45" t="s">
        <v>68</v>
      </c>
      <c r="G4" s="45" t="s">
        <v>30</v>
      </c>
      <c r="H4" s="45" t="s">
        <v>61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43</v>
      </c>
      <c r="H5" s="45" t="s">
        <v>44</v>
      </c>
    </row>
    <row r="6" spans="2:8" x14ac:dyDescent="0.25">
      <c r="B6" s="10" t="s">
        <v>55</v>
      </c>
      <c r="C6" s="8"/>
      <c r="D6" s="8"/>
      <c r="E6" s="9"/>
      <c r="F6" s="36"/>
      <c r="G6" s="36"/>
      <c r="H6" s="36"/>
    </row>
    <row r="7" spans="2:8" x14ac:dyDescent="0.25">
      <c r="B7" s="10" t="s">
        <v>19</v>
      </c>
      <c r="C7" s="8"/>
      <c r="D7" s="8"/>
      <c r="E7" s="8"/>
      <c r="F7" s="36"/>
      <c r="G7" s="36"/>
      <c r="H7" s="36"/>
    </row>
    <row r="8" spans="2:8" x14ac:dyDescent="0.25">
      <c r="B8" s="26" t="s">
        <v>20</v>
      </c>
      <c r="C8" s="8"/>
      <c r="D8" s="8"/>
      <c r="E8" s="8"/>
      <c r="F8" s="36"/>
      <c r="G8" s="36"/>
      <c r="H8" s="36"/>
    </row>
    <row r="9" spans="2:8" x14ac:dyDescent="0.25">
      <c r="B9" s="27" t="s">
        <v>21</v>
      </c>
      <c r="C9" s="8"/>
      <c r="D9" s="8"/>
      <c r="E9" s="8"/>
      <c r="F9" s="36"/>
      <c r="G9" s="36"/>
      <c r="H9" s="36"/>
    </row>
    <row r="10" spans="2:8" x14ac:dyDescent="0.25">
      <c r="B10" s="27" t="s">
        <v>22</v>
      </c>
      <c r="C10" s="8"/>
      <c r="D10" s="8"/>
      <c r="E10" s="8"/>
      <c r="F10" s="36"/>
      <c r="G10" s="36"/>
      <c r="H10" s="36"/>
    </row>
    <row r="11" spans="2:8" x14ac:dyDescent="0.25">
      <c r="B11" s="10" t="s">
        <v>23</v>
      </c>
      <c r="C11" s="8"/>
      <c r="D11" s="8"/>
      <c r="E11" s="9"/>
      <c r="F11" s="36"/>
      <c r="G11" s="36"/>
      <c r="H11" s="36"/>
    </row>
    <row r="12" spans="2:8" x14ac:dyDescent="0.25">
      <c r="B12" s="28" t="s">
        <v>24</v>
      </c>
      <c r="C12" s="8"/>
      <c r="D12" s="8"/>
      <c r="E12" s="9"/>
      <c r="F12" s="36"/>
      <c r="G12" s="36"/>
      <c r="H12" s="36"/>
    </row>
    <row r="13" spans="2:8" x14ac:dyDescent="0.25">
      <c r="B13" s="10" t="s">
        <v>25</v>
      </c>
      <c r="C13" s="8"/>
      <c r="D13" s="8"/>
      <c r="E13" s="9"/>
      <c r="F13" s="36"/>
      <c r="G13" s="36"/>
      <c r="H13" s="36"/>
    </row>
    <row r="14" spans="2:8" x14ac:dyDescent="0.25">
      <c r="B14" s="28" t="s">
        <v>26</v>
      </c>
      <c r="C14" s="8"/>
      <c r="D14" s="8"/>
      <c r="E14" s="9"/>
      <c r="F14" s="36"/>
      <c r="G14" s="36"/>
      <c r="H14" s="36"/>
    </row>
    <row r="15" spans="2:8" x14ac:dyDescent="0.25">
      <c r="B15" s="15" t="s">
        <v>16</v>
      </c>
      <c r="C15" s="8"/>
      <c r="D15" s="8"/>
      <c r="E15" s="9"/>
      <c r="F15" s="36"/>
      <c r="G15" s="36"/>
      <c r="H15" s="36"/>
    </row>
    <row r="16" spans="2:8" x14ac:dyDescent="0.25">
      <c r="B16" s="28"/>
      <c r="C16" s="8"/>
      <c r="D16" s="8"/>
      <c r="E16" s="9"/>
      <c r="F16" s="36"/>
      <c r="G16" s="36"/>
      <c r="H16" s="36"/>
    </row>
    <row r="17" spans="2:8" ht="15.75" customHeight="1" x14ac:dyDescent="0.25">
      <c r="B17" s="10" t="s">
        <v>56</v>
      </c>
      <c r="C17" s="8"/>
      <c r="D17" s="8"/>
      <c r="E17" s="9"/>
      <c r="F17" s="36"/>
      <c r="G17" s="36"/>
      <c r="H17" s="36"/>
    </row>
    <row r="18" spans="2:8" ht="15.75" customHeight="1" x14ac:dyDescent="0.25">
      <c r="B18" s="10" t="s">
        <v>19</v>
      </c>
      <c r="C18" s="8"/>
      <c r="D18" s="8"/>
      <c r="E18" s="8"/>
      <c r="F18" s="36"/>
      <c r="G18" s="36"/>
      <c r="H18" s="36"/>
    </row>
    <row r="19" spans="2:8" x14ac:dyDescent="0.25">
      <c r="B19" s="26" t="s">
        <v>20</v>
      </c>
      <c r="C19" s="8"/>
      <c r="D19" s="8"/>
      <c r="E19" s="8"/>
      <c r="F19" s="36"/>
      <c r="G19" s="36"/>
      <c r="H19" s="36"/>
    </row>
    <row r="20" spans="2:8" x14ac:dyDescent="0.25">
      <c r="B20" s="27" t="s">
        <v>21</v>
      </c>
      <c r="C20" s="8"/>
      <c r="D20" s="8"/>
      <c r="E20" s="8"/>
      <c r="F20" s="36"/>
      <c r="G20" s="36"/>
      <c r="H20" s="36"/>
    </row>
    <row r="21" spans="2:8" x14ac:dyDescent="0.25">
      <c r="B21" s="27" t="s">
        <v>22</v>
      </c>
      <c r="C21" s="8"/>
      <c r="D21" s="8"/>
      <c r="E21" s="8"/>
      <c r="F21" s="36"/>
      <c r="G21" s="36"/>
      <c r="H21" s="36"/>
    </row>
    <row r="22" spans="2:8" x14ac:dyDescent="0.25">
      <c r="B22" s="10" t="s">
        <v>23</v>
      </c>
      <c r="C22" s="8"/>
      <c r="D22" s="8"/>
      <c r="E22" s="9"/>
      <c r="F22" s="36"/>
      <c r="G22" s="36"/>
      <c r="H22" s="36"/>
    </row>
    <row r="23" spans="2:8" x14ac:dyDescent="0.25">
      <c r="B23" s="28" t="s">
        <v>24</v>
      </c>
      <c r="C23" s="8"/>
      <c r="D23" s="8"/>
      <c r="E23" s="9"/>
      <c r="F23" s="36"/>
      <c r="G23" s="36"/>
      <c r="H23" s="36"/>
    </row>
    <row r="24" spans="2:8" x14ac:dyDescent="0.25">
      <c r="B24" s="10" t="s">
        <v>25</v>
      </c>
      <c r="C24" s="8"/>
      <c r="D24" s="8"/>
      <c r="E24" s="9"/>
      <c r="F24" s="36"/>
      <c r="G24" s="36"/>
      <c r="H24" s="36"/>
    </row>
    <row r="25" spans="2:8" x14ac:dyDescent="0.25">
      <c r="B25" s="28" t="s">
        <v>26</v>
      </c>
      <c r="C25" s="8"/>
      <c r="D25" s="8"/>
      <c r="E25" s="9"/>
      <c r="F25" s="36"/>
      <c r="G25" s="36"/>
      <c r="H25" s="36"/>
    </row>
    <row r="26" spans="2:8" x14ac:dyDescent="0.25">
      <c r="B26" s="15" t="s">
        <v>16</v>
      </c>
      <c r="C26" s="8"/>
      <c r="D26" s="8"/>
      <c r="E26" s="9"/>
      <c r="F26" s="36"/>
      <c r="G26" s="36"/>
      <c r="H26" s="36"/>
    </row>
    <row r="28" spans="2:8" x14ac:dyDescent="0.25">
      <c r="B28" s="54"/>
      <c r="C28" s="54"/>
      <c r="D28" s="54"/>
      <c r="E28" s="54"/>
      <c r="F28" s="54"/>
      <c r="G28" s="54"/>
      <c r="H28" s="54"/>
    </row>
  </sheetData>
  <mergeCells count="1">
    <mergeCell ref="B2:H2"/>
  </mergeCells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3"/>
  <sheetViews>
    <sheetView tabSelected="1" zoomScaleNormal="100" workbookViewId="0">
      <selection activeCell="J8" sqref="J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20" t="s">
        <v>10</v>
      </c>
      <c r="C2" s="120"/>
      <c r="D2" s="120"/>
      <c r="E2" s="120"/>
      <c r="F2" s="120"/>
      <c r="G2" s="120"/>
      <c r="H2" s="120"/>
      <c r="I2" s="120"/>
      <c r="J2" s="30"/>
    </row>
    <row r="3" spans="2:10" ht="18" x14ac:dyDescent="0.25">
      <c r="B3" s="3"/>
      <c r="C3" s="3"/>
      <c r="D3" s="3"/>
      <c r="E3" s="3"/>
      <c r="F3" s="3"/>
      <c r="G3" s="3"/>
      <c r="H3" s="3"/>
      <c r="I3" s="4"/>
      <c r="J3" s="4"/>
    </row>
    <row r="4" spans="2:10" ht="15.75" x14ac:dyDescent="0.25">
      <c r="B4" s="153" t="s">
        <v>72</v>
      </c>
      <c r="C4" s="153"/>
      <c r="D4" s="153"/>
      <c r="E4" s="153"/>
      <c r="F4" s="153"/>
      <c r="G4" s="153"/>
      <c r="H4" s="153"/>
      <c r="I4" s="153"/>
    </row>
    <row r="5" spans="2:10" ht="18" x14ac:dyDescent="0.25">
      <c r="B5" s="19"/>
      <c r="C5" s="19"/>
      <c r="D5" s="19"/>
      <c r="E5" s="19"/>
      <c r="F5" s="19"/>
      <c r="G5" s="19"/>
      <c r="H5" s="19"/>
      <c r="I5" s="4"/>
    </row>
    <row r="6" spans="2:10" ht="25.5" x14ac:dyDescent="0.25">
      <c r="B6" s="147" t="s">
        <v>7</v>
      </c>
      <c r="C6" s="148"/>
      <c r="D6" s="148"/>
      <c r="E6" s="149"/>
      <c r="F6" s="45" t="s">
        <v>63</v>
      </c>
      <c r="G6" s="45" t="s">
        <v>60</v>
      </c>
      <c r="H6" s="45" t="s">
        <v>71</v>
      </c>
      <c r="I6" s="45" t="s">
        <v>61</v>
      </c>
    </row>
    <row r="7" spans="2:10" s="52" customFormat="1" ht="11.25" x14ac:dyDescent="0.2">
      <c r="B7" s="144">
        <v>1</v>
      </c>
      <c r="C7" s="145"/>
      <c r="D7" s="145"/>
      <c r="E7" s="146"/>
      <c r="F7" s="49">
        <v>2</v>
      </c>
      <c r="G7" s="49">
        <v>3</v>
      </c>
      <c r="H7" s="49">
        <v>4</v>
      </c>
      <c r="I7" s="49" t="s">
        <v>54</v>
      </c>
    </row>
    <row r="8" spans="2:10" ht="30" customHeight="1" x14ac:dyDescent="0.25">
      <c r="B8" s="154">
        <v>764</v>
      </c>
      <c r="C8" s="155"/>
      <c r="D8" s="156"/>
      <c r="E8" s="106" t="s">
        <v>183</v>
      </c>
      <c r="F8" s="107">
        <f>+F9+F94+F166+F189+F214+F223</f>
        <v>8721397.7600000016</v>
      </c>
      <c r="G8" s="72"/>
      <c r="H8" s="80">
        <f>H9+H94+H166+H189+H214+H223</f>
        <v>9743074.959999999</v>
      </c>
      <c r="I8" s="72"/>
    </row>
    <row r="9" spans="2:10" ht="30" customHeight="1" x14ac:dyDescent="0.25">
      <c r="B9" s="150">
        <v>11</v>
      </c>
      <c r="C9" s="151"/>
      <c r="D9" s="152"/>
      <c r="E9" s="108" t="s">
        <v>184</v>
      </c>
      <c r="F9" s="109">
        <v>4655782.6900000004</v>
      </c>
      <c r="G9" s="72"/>
      <c r="H9" s="80">
        <f>H10+H51</f>
        <v>2087188.8499999999</v>
      </c>
      <c r="I9" s="72"/>
    </row>
    <row r="10" spans="2:10" ht="30" customHeight="1" x14ac:dyDescent="0.25">
      <c r="B10" s="105" t="s">
        <v>190</v>
      </c>
      <c r="C10" s="113"/>
      <c r="D10" s="114"/>
      <c r="E10" s="115" t="s">
        <v>191</v>
      </c>
      <c r="F10" s="116">
        <v>551712.14</v>
      </c>
      <c r="G10" s="80"/>
      <c r="H10" s="80">
        <f>H11+H33</f>
        <v>83759.930000000008</v>
      </c>
      <c r="I10" s="72"/>
      <c r="J10" s="78"/>
    </row>
    <row r="11" spans="2:10" s="82" customFormat="1" ht="30" customHeight="1" x14ac:dyDescent="0.25">
      <c r="B11" s="105"/>
      <c r="C11" s="113">
        <v>3</v>
      </c>
      <c r="D11" s="114"/>
      <c r="E11" s="115" t="s">
        <v>4</v>
      </c>
      <c r="F11" s="116">
        <f>+F10-F33</f>
        <v>180287.35999999999</v>
      </c>
      <c r="G11" s="80"/>
      <c r="H11" s="80">
        <f>H12</f>
        <v>55555.23</v>
      </c>
      <c r="I11" s="80"/>
    </row>
    <row r="12" spans="2:10" ht="30" customHeight="1" x14ac:dyDescent="0.25">
      <c r="B12" s="99"/>
      <c r="C12" s="100"/>
      <c r="D12" s="101">
        <v>32</v>
      </c>
      <c r="E12" s="55" t="s">
        <v>12</v>
      </c>
      <c r="F12" s="102">
        <f>15203.4+5441.64+44037.43+663.61+265.45+2681+3318.07+3318.07+265.45+4260.4+32520.41+8228.81+52677.68+265.45+5574.36+1566.13</f>
        <v>180287.36000000002</v>
      </c>
      <c r="G12" s="72"/>
      <c r="H12" s="72">
        <v>55555.23</v>
      </c>
      <c r="I12" s="72"/>
    </row>
    <row r="13" spans="2:10" ht="30" customHeight="1" x14ac:dyDescent="0.25">
      <c r="B13" s="99"/>
      <c r="C13" s="100"/>
      <c r="D13" s="118">
        <v>321</v>
      </c>
      <c r="E13" s="55" t="s">
        <v>41</v>
      </c>
      <c r="F13" s="102">
        <f>15203.4+5441.64</f>
        <v>20645.04</v>
      </c>
      <c r="G13" s="72"/>
      <c r="H13" s="72">
        <v>5561.28</v>
      </c>
      <c r="I13" s="72"/>
    </row>
    <row r="14" spans="2:10" ht="30" customHeight="1" x14ac:dyDescent="0.25">
      <c r="B14" s="99"/>
      <c r="C14" s="100"/>
      <c r="D14" s="117">
        <v>3211</v>
      </c>
      <c r="E14" s="55" t="s">
        <v>42</v>
      </c>
      <c r="F14" s="102">
        <v>15203.4</v>
      </c>
      <c r="G14" s="72"/>
      <c r="H14" s="72">
        <v>5298.83</v>
      </c>
      <c r="I14" s="72"/>
    </row>
    <row r="15" spans="2:10" ht="30" customHeight="1" x14ac:dyDescent="0.25">
      <c r="B15" s="99"/>
      <c r="C15" s="100"/>
      <c r="D15" s="117">
        <v>3213</v>
      </c>
      <c r="E15" s="55" t="s">
        <v>205</v>
      </c>
      <c r="F15" s="102">
        <v>5441.64</v>
      </c>
      <c r="G15" s="72"/>
      <c r="H15" s="72">
        <v>262.45</v>
      </c>
      <c r="I15" s="72"/>
    </row>
    <row r="16" spans="2:10" ht="30" customHeight="1" x14ac:dyDescent="0.25">
      <c r="B16" s="99"/>
      <c r="C16" s="100"/>
      <c r="D16" s="118">
        <v>322</v>
      </c>
      <c r="E16" s="55" t="s">
        <v>118</v>
      </c>
      <c r="F16" s="102">
        <f>44037.43+663.61+265.45+2681</f>
        <v>47647.49</v>
      </c>
      <c r="G16" s="72"/>
      <c r="H16" s="72">
        <v>1957.72</v>
      </c>
      <c r="I16" s="72"/>
    </row>
    <row r="17" spans="2:9" ht="30" customHeight="1" x14ac:dyDescent="0.25">
      <c r="B17" s="99"/>
      <c r="C17" s="100"/>
      <c r="D17" s="117">
        <v>3221</v>
      </c>
      <c r="E17" s="55" t="s">
        <v>206</v>
      </c>
      <c r="F17" s="102">
        <v>44037.43</v>
      </c>
      <c r="G17" s="72"/>
      <c r="H17" s="72">
        <v>1829.2</v>
      </c>
      <c r="I17" s="72"/>
    </row>
    <row r="18" spans="2:9" ht="30" customHeight="1" x14ac:dyDescent="0.25">
      <c r="B18" s="99"/>
      <c r="C18" s="100"/>
      <c r="D18" s="117">
        <v>3224</v>
      </c>
      <c r="E18" s="55" t="s">
        <v>121</v>
      </c>
      <c r="F18" s="102">
        <v>663.61</v>
      </c>
      <c r="G18" s="72"/>
      <c r="H18" s="72">
        <v>128.52000000000001</v>
      </c>
      <c r="I18" s="72"/>
    </row>
    <row r="19" spans="2:9" ht="30" customHeight="1" x14ac:dyDescent="0.25">
      <c r="B19" s="99"/>
      <c r="C19" s="100"/>
      <c r="D19" s="117">
        <v>3225</v>
      </c>
      <c r="E19" s="55" t="s">
        <v>207</v>
      </c>
      <c r="F19" s="102">
        <v>265.45</v>
      </c>
      <c r="G19" s="72"/>
      <c r="H19" s="72">
        <v>0</v>
      </c>
      <c r="I19" s="72"/>
    </row>
    <row r="20" spans="2:9" ht="30" customHeight="1" x14ac:dyDescent="0.25">
      <c r="B20" s="99"/>
      <c r="C20" s="100"/>
      <c r="D20" s="117">
        <v>3227</v>
      </c>
      <c r="E20" s="55" t="s">
        <v>208</v>
      </c>
      <c r="F20" s="102">
        <v>2681</v>
      </c>
      <c r="G20" s="72"/>
      <c r="H20" s="72">
        <v>0</v>
      </c>
      <c r="I20" s="72"/>
    </row>
    <row r="21" spans="2:9" ht="30" customHeight="1" x14ac:dyDescent="0.25">
      <c r="B21" s="99"/>
      <c r="C21" s="100"/>
      <c r="D21" s="118">
        <v>323</v>
      </c>
      <c r="E21" s="55" t="s">
        <v>123</v>
      </c>
      <c r="F21" s="102">
        <f>3318.07+3318.07+265.45+4260.4+32520.41+8228.81+52677.68</f>
        <v>104588.89</v>
      </c>
      <c r="G21" s="72"/>
      <c r="H21" s="72">
        <v>43523.65</v>
      </c>
      <c r="I21" s="72"/>
    </row>
    <row r="22" spans="2:9" ht="30" customHeight="1" x14ac:dyDescent="0.25">
      <c r="B22" s="99"/>
      <c r="C22" s="100"/>
      <c r="D22" s="117">
        <v>3231</v>
      </c>
      <c r="E22" s="55" t="s">
        <v>124</v>
      </c>
      <c r="F22" s="102">
        <v>3318.07</v>
      </c>
      <c r="G22" s="72"/>
      <c r="H22" s="72">
        <v>401.63</v>
      </c>
      <c r="I22" s="72"/>
    </row>
    <row r="23" spans="2:9" ht="30" customHeight="1" x14ac:dyDescent="0.25">
      <c r="B23" s="99"/>
      <c r="C23" s="100"/>
      <c r="D23" s="117">
        <v>3232</v>
      </c>
      <c r="E23" s="55" t="s">
        <v>125</v>
      </c>
      <c r="F23" s="102">
        <v>3318.07</v>
      </c>
      <c r="G23" s="72"/>
      <c r="H23" s="72">
        <v>0</v>
      </c>
      <c r="I23" s="72"/>
    </row>
    <row r="24" spans="2:9" ht="30" customHeight="1" x14ac:dyDescent="0.25">
      <c r="B24" s="99"/>
      <c r="C24" s="100"/>
      <c r="D24" s="117">
        <v>3233</v>
      </c>
      <c r="E24" s="55" t="s">
        <v>126</v>
      </c>
      <c r="F24" s="102">
        <v>265.45</v>
      </c>
      <c r="G24" s="72"/>
      <c r="H24" s="72">
        <v>0</v>
      </c>
      <c r="I24" s="72"/>
    </row>
    <row r="25" spans="2:9" ht="30" customHeight="1" x14ac:dyDescent="0.25">
      <c r="B25" s="99"/>
      <c r="C25" s="100"/>
      <c r="D25" s="117">
        <v>3235</v>
      </c>
      <c r="E25" s="55" t="s">
        <v>128</v>
      </c>
      <c r="F25" s="102">
        <v>4260.3999999999996</v>
      </c>
      <c r="G25" s="72"/>
      <c r="H25" s="72">
        <v>0</v>
      </c>
      <c r="I25" s="72"/>
    </row>
    <row r="26" spans="2:9" ht="30" customHeight="1" x14ac:dyDescent="0.25">
      <c r="B26" s="99"/>
      <c r="C26" s="100"/>
      <c r="D26" s="117">
        <v>3237</v>
      </c>
      <c r="E26" s="55" t="s">
        <v>130</v>
      </c>
      <c r="F26" s="102">
        <v>32520.41</v>
      </c>
      <c r="G26" s="72"/>
      <c r="H26" s="72">
        <f>6088.31+1025.1+118.24+370.48+366.52+1749.63+540.46+200.02+54.43+190.84+4435.43</f>
        <v>15139.46</v>
      </c>
      <c r="I26" s="72"/>
    </row>
    <row r="27" spans="2:9" ht="30" customHeight="1" x14ac:dyDescent="0.25">
      <c r="B27" s="99"/>
      <c r="C27" s="100"/>
      <c r="D27" s="117">
        <v>3238</v>
      </c>
      <c r="E27" s="55" t="s">
        <v>131</v>
      </c>
      <c r="F27" s="102">
        <v>8228.81</v>
      </c>
      <c r="G27" s="72"/>
      <c r="H27" s="72">
        <v>829.5</v>
      </c>
      <c r="I27" s="72"/>
    </row>
    <row r="28" spans="2:9" ht="30" customHeight="1" x14ac:dyDescent="0.25">
      <c r="B28" s="99"/>
      <c r="C28" s="100"/>
      <c r="D28" s="117">
        <v>3239</v>
      </c>
      <c r="E28" s="55" t="s">
        <v>215</v>
      </c>
      <c r="F28" s="102">
        <v>52677.68</v>
      </c>
      <c r="G28" s="72"/>
      <c r="H28" s="72">
        <f>1779.31+25373.75</f>
        <v>27153.06</v>
      </c>
      <c r="I28" s="72"/>
    </row>
    <row r="29" spans="2:9" ht="30" customHeight="1" x14ac:dyDescent="0.25">
      <c r="B29" s="99"/>
      <c r="C29" s="100"/>
      <c r="D29" s="118">
        <v>329</v>
      </c>
      <c r="E29" s="55" t="s">
        <v>135</v>
      </c>
      <c r="F29" s="102">
        <f>265.45+5574.36+1566.13</f>
        <v>7405.94</v>
      </c>
      <c r="G29" s="72"/>
      <c r="H29" s="72">
        <v>4512.58</v>
      </c>
      <c r="I29" s="72"/>
    </row>
    <row r="30" spans="2:9" ht="30" customHeight="1" x14ac:dyDescent="0.25">
      <c r="B30" s="99"/>
      <c r="C30" s="100"/>
      <c r="D30" s="117">
        <v>3292</v>
      </c>
      <c r="E30" s="55" t="s">
        <v>136</v>
      </c>
      <c r="F30" s="102">
        <v>265.45</v>
      </c>
      <c r="G30" s="72"/>
      <c r="H30" s="72">
        <v>0</v>
      </c>
      <c r="I30" s="72"/>
    </row>
    <row r="31" spans="2:9" ht="30" customHeight="1" x14ac:dyDescent="0.25">
      <c r="B31" s="99"/>
      <c r="C31" s="100"/>
      <c r="D31" s="117">
        <v>3293</v>
      </c>
      <c r="E31" s="55" t="s">
        <v>137</v>
      </c>
      <c r="F31" s="102">
        <v>5574.36</v>
      </c>
      <c r="G31" s="72"/>
      <c r="H31" s="72">
        <v>3185.35</v>
      </c>
      <c r="I31" s="72"/>
    </row>
    <row r="32" spans="2:9" ht="30" customHeight="1" x14ac:dyDescent="0.25">
      <c r="B32" s="99"/>
      <c r="C32" s="100"/>
      <c r="D32" s="117">
        <v>3294</v>
      </c>
      <c r="E32" s="55" t="s">
        <v>138</v>
      </c>
      <c r="F32" s="102">
        <v>1566.13</v>
      </c>
      <c r="G32" s="72"/>
      <c r="H32" s="72">
        <v>1327.23</v>
      </c>
      <c r="I32" s="72"/>
    </row>
    <row r="33" spans="2:9" ht="30" customHeight="1" x14ac:dyDescent="0.25">
      <c r="B33" s="99"/>
      <c r="C33" s="100">
        <v>4</v>
      </c>
      <c r="D33" s="114"/>
      <c r="E33" s="115" t="s">
        <v>6</v>
      </c>
      <c r="F33" s="116">
        <f>132.72+54416.35+14201.34+7830.65+2787.18+5375.27+21235.65+265445.62</f>
        <v>371424.78</v>
      </c>
      <c r="G33" s="80"/>
      <c r="H33" s="80">
        <f>H37+H45</f>
        <v>28204.700000000004</v>
      </c>
      <c r="I33" s="72"/>
    </row>
    <row r="34" spans="2:9" ht="30" customHeight="1" x14ac:dyDescent="0.25">
      <c r="B34" s="99"/>
      <c r="C34" s="100"/>
      <c r="D34" s="101">
        <v>41</v>
      </c>
      <c r="E34" s="55" t="s">
        <v>161</v>
      </c>
      <c r="F34" s="102">
        <v>132.72</v>
      </c>
      <c r="G34" s="72"/>
      <c r="H34" s="72">
        <v>0</v>
      </c>
      <c r="I34" s="72"/>
    </row>
    <row r="35" spans="2:9" ht="30" customHeight="1" x14ac:dyDescent="0.25">
      <c r="B35" s="99"/>
      <c r="C35" s="100"/>
      <c r="D35" s="118">
        <v>412</v>
      </c>
      <c r="E35" s="55" t="s">
        <v>164</v>
      </c>
      <c r="F35" s="102">
        <v>132.72</v>
      </c>
      <c r="G35" s="72"/>
      <c r="H35" s="72">
        <v>0</v>
      </c>
      <c r="I35" s="72"/>
    </row>
    <row r="36" spans="2:9" ht="30" customHeight="1" x14ac:dyDescent="0.25">
      <c r="B36" s="99"/>
      <c r="C36" s="100"/>
      <c r="D36" s="117">
        <v>4123</v>
      </c>
      <c r="E36" s="55" t="s">
        <v>165</v>
      </c>
      <c r="F36" s="102">
        <v>132.72</v>
      </c>
      <c r="G36" s="72"/>
      <c r="H36" s="72">
        <v>0</v>
      </c>
      <c r="I36" s="72"/>
    </row>
    <row r="37" spans="2:9" ht="30" customHeight="1" x14ac:dyDescent="0.25">
      <c r="B37" s="99"/>
      <c r="C37" s="100"/>
      <c r="D37" s="101">
        <v>42</v>
      </c>
      <c r="E37" s="55" t="s">
        <v>150</v>
      </c>
      <c r="F37" s="102">
        <f>54416.35+14201.34+7830.65+2787.18+5375.27</f>
        <v>84610.79</v>
      </c>
      <c r="G37" s="72"/>
      <c r="H37" s="72">
        <v>18582.580000000002</v>
      </c>
      <c r="I37" s="72"/>
    </row>
    <row r="38" spans="2:9" ht="30" customHeight="1" x14ac:dyDescent="0.25">
      <c r="B38" s="99"/>
      <c r="C38" s="100"/>
      <c r="D38" s="118">
        <v>422</v>
      </c>
      <c r="E38" s="55" t="s">
        <v>151</v>
      </c>
      <c r="F38" s="102">
        <f>54416.35+14201.34+7830.65+2787.18</f>
        <v>79235.51999999999</v>
      </c>
      <c r="G38" s="72"/>
      <c r="H38" s="72">
        <v>15496.26</v>
      </c>
      <c r="I38" s="72"/>
    </row>
    <row r="39" spans="2:9" ht="30" customHeight="1" x14ac:dyDescent="0.25">
      <c r="B39" s="99"/>
      <c r="C39" s="100"/>
      <c r="D39" s="117">
        <v>4221</v>
      </c>
      <c r="E39" s="55" t="s">
        <v>152</v>
      </c>
      <c r="F39" s="102">
        <v>54416.35</v>
      </c>
      <c r="G39" s="72"/>
      <c r="H39" s="72">
        <v>10041.81</v>
      </c>
      <c r="I39" s="72"/>
    </row>
    <row r="40" spans="2:9" ht="30" customHeight="1" x14ac:dyDescent="0.25">
      <c r="B40" s="99"/>
      <c r="C40" s="100"/>
      <c r="D40" s="117">
        <v>4223</v>
      </c>
      <c r="E40" s="55" t="s">
        <v>153</v>
      </c>
      <c r="F40" s="102">
        <v>14201.34</v>
      </c>
      <c r="G40" s="72"/>
      <c r="H40" s="72">
        <v>0</v>
      </c>
      <c r="I40" s="72"/>
    </row>
    <row r="41" spans="2:9" ht="30" customHeight="1" x14ac:dyDescent="0.25">
      <c r="B41" s="99"/>
      <c r="C41" s="100"/>
      <c r="D41" s="117">
        <v>4225</v>
      </c>
      <c r="E41" s="55" t="s">
        <v>154</v>
      </c>
      <c r="F41" s="102">
        <v>7830.65</v>
      </c>
      <c r="G41" s="72"/>
      <c r="H41" s="72">
        <f>1846.51+2482.5</f>
        <v>4329.01</v>
      </c>
      <c r="I41" s="72"/>
    </row>
    <row r="42" spans="2:9" ht="30" customHeight="1" x14ac:dyDescent="0.25">
      <c r="B42" s="99"/>
      <c r="C42" s="100"/>
      <c r="D42" s="117">
        <v>4227</v>
      </c>
      <c r="E42" s="55" t="s">
        <v>155</v>
      </c>
      <c r="F42" s="102">
        <v>2787.18</v>
      </c>
      <c r="G42" s="72"/>
      <c r="H42" s="72">
        <v>1125.44</v>
      </c>
      <c r="I42" s="72"/>
    </row>
    <row r="43" spans="2:9" ht="30" customHeight="1" x14ac:dyDescent="0.25">
      <c r="B43" s="99"/>
      <c r="C43" s="100"/>
      <c r="D43" s="118">
        <v>424</v>
      </c>
      <c r="E43" s="55" t="s">
        <v>167</v>
      </c>
      <c r="F43" s="102">
        <v>5375.27</v>
      </c>
      <c r="G43" s="72"/>
      <c r="H43" s="72">
        <v>3086.32</v>
      </c>
      <c r="I43" s="72"/>
    </row>
    <row r="44" spans="2:9" ht="30" customHeight="1" x14ac:dyDescent="0.25">
      <c r="B44" s="99"/>
      <c r="C44" s="100"/>
      <c r="D44" s="117">
        <v>4241</v>
      </c>
      <c r="E44" s="55" t="s">
        <v>168</v>
      </c>
      <c r="F44" s="102">
        <v>5375.27</v>
      </c>
      <c r="G44" s="72"/>
      <c r="H44" s="72">
        <v>3086.32</v>
      </c>
      <c r="I44" s="72"/>
    </row>
    <row r="45" spans="2:9" ht="30" customHeight="1" x14ac:dyDescent="0.25">
      <c r="B45" s="99"/>
      <c r="C45" s="100"/>
      <c r="D45" s="101">
        <v>43</v>
      </c>
      <c r="E45" s="55" t="s">
        <v>156</v>
      </c>
      <c r="F45" s="102">
        <v>21235.65</v>
      </c>
      <c r="G45" s="72"/>
      <c r="H45" s="72">
        <v>9622.1200000000008</v>
      </c>
      <c r="I45" s="72"/>
    </row>
    <row r="46" spans="2:9" ht="30" customHeight="1" x14ac:dyDescent="0.25">
      <c r="B46" s="99"/>
      <c r="C46" s="100"/>
      <c r="D46" s="118">
        <v>431</v>
      </c>
      <c r="E46" s="55" t="s">
        <v>157</v>
      </c>
      <c r="F46" s="102">
        <v>21235.65</v>
      </c>
      <c r="G46" s="72"/>
      <c r="H46" s="72">
        <v>9622.1200000000008</v>
      </c>
      <c r="I46" s="72"/>
    </row>
    <row r="47" spans="2:9" ht="30" customHeight="1" x14ac:dyDescent="0.25">
      <c r="B47" s="99"/>
      <c r="C47" s="100"/>
      <c r="D47" s="117">
        <v>4312</v>
      </c>
      <c r="E47" s="55" t="s">
        <v>203</v>
      </c>
      <c r="F47" s="102">
        <v>21235.65</v>
      </c>
      <c r="G47" s="72"/>
      <c r="H47" s="72">
        <v>9622.1200000000008</v>
      </c>
      <c r="I47" s="72"/>
    </row>
    <row r="48" spans="2:9" ht="30" customHeight="1" x14ac:dyDescent="0.25">
      <c r="B48" s="99"/>
      <c r="C48" s="100"/>
      <c r="D48" s="101">
        <v>45</v>
      </c>
      <c r="E48" s="55" t="s">
        <v>199</v>
      </c>
      <c r="F48" s="102">
        <v>265445.62</v>
      </c>
      <c r="G48" s="72"/>
      <c r="H48" s="72">
        <v>0</v>
      </c>
      <c r="I48" s="72"/>
    </row>
    <row r="49" spans="2:9" ht="30" customHeight="1" x14ac:dyDescent="0.25">
      <c r="B49" s="99"/>
      <c r="C49" s="100"/>
      <c r="D49" s="118">
        <v>451</v>
      </c>
      <c r="E49" s="55" t="s">
        <v>172</v>
      </c>
      <c r="F49" s="102">
        <v>265445.62</v>
      </c>
      <c r="G49" s="72"/>
      <c r="H49" s="72">
        <v>0</v>
      </c>
      <c r="I49" s="72"/>
    </row>
    <row r="50" spans="2:9" ht="30" customHeight="1" x14ac:dyDescent="0.25">
      <c r="B50" s="99"/>
      <c r="C50" s="100"/>
      <c r="D50" s="117">
        <v>4511</v>
      </c>
      <c r="E50" s="55" t="s">
        <v>172</v>
      </c>
      <c r="F50" s="102">
        <v>265455.62</v>
      </c>
      <c r="G50" s="72"/>
      <c r="H50" s="72">
        <v>0</v>
      </c>
      <c r="I50" s="72"/>
    </row>
    <row r="51" spans="2:9" ht="30" customHeight="1" x14ac:dyDescent="0.25">
      <c r="B51" s="105" t="s">
        <v>193</v>
      </c>
      <c r="C51" s="113"/>
      <c r="D51" s="114"/>
      <c r="E51" s="115" t="s">
        <v>194</v>
      </c>
      <c r="F51" s="116">
        <v>4104070.55</v>
      </c>
      <c r="G51" s="80"/>
      <c r="H51" s="80">
        <f>H52</f>
        <v>2003428.92</v>
      </c>
      <c r="I51" s="80"/>
    </row>
    <row r="52" spans="2:9" s="82" customFormat="1" ht="30" customHeight="1" x14ac:dyDescent="0.25">
      <c r="B52" s="105"/>
      <c r="C52" s="113">
        <v>3</v>
      </c>
      <c r="D52" s="114"/>
      <c r="E52" s="115" t="s">
        <v>4</v>
      </c>
      <c r="F52" s="116">
        <f>+F51</f>
        <v>4104070.55</v>
      </c>
      <c r="G52" s="80"/>
      <c r="H52" s="80">
        <f>H53+H62+H90</f>
        <v>2003428.92</v>
      </c>
      <c r="I52" s="80"/>
    </row>
    <row r="53" spans="2:9" ht="30" customHeight="1" x14ac:dyDescent="0.25">
      <c r="B53" s="99"/>
      <c r="C53" s="100"/>
      <c r="D53" s="101">
        <v>31</v>
      </c>
      <c r="E53" s="55" t="s">
        <v>5</v>
      </c>
      <c r="F53" s="102">
        <f>2668394.64+19908.42+16590.35+115203.4+447382.04</f>
        <v>3267478.85</v>
      </c>
      <c r="G53" s="72"/>
      <c r="H53" s="72">
        <f>1680549.99-497.35-211.05-8776.74</f>
        <v>1671064.8499999999</v>
      </c>
      <c r="I53" s="72"/>
    </row>
    <row r="54" spans="2:9" ht="30" customHeight="1" x14ac:dyDescent="0.25">
      <c r="B54" s="99"/>
      <c r="C54" s="100"/>
      <c r="D54" s="118">
        <v>311</v>
      </c>
      <c r="E54" s="55" t="s">
        <v>201</v>
      </c>
      <c r="F54" s="102">
        <f>2668394.64+19908.42+16590.35</f>
        <v>2704893.41</v>
      </c>
      <c r="G54" s="72"/>
      <c r="H54" s="72">
        <f>975627.65-497.35-211.05+125945.87+275416.23</f>
        <v>1376281.35</v>
      </c>
      <c r="I54" s="72"/>
    </row>
    <row r="55" spans="2:9" ht="30" customHeight="1" x14ac:dyDescent="0.25">
      <c r="B55" s="99"/>
      <c r="C55" s="100"/>
      <c r="D55" s="117">
        <v>3111</v>
      </c>
      <c r="E55" s="55" t="s">
        <v>40</v>
      </c>
      <c r="F55" s="102">
        <v>2668394.64</v>
      </c>
      <c r="G55" s="72"/>
      <c r="H55" s="72">
        <f>975627.65-497.35-211.05+125945.87+275416.23-15261.71-9415.54</f>
        <v>1351604.1</v>
      </c>
      <c r="I55" s="72"/>
    </row>
    <row r="56" spans="2:9" ht="30" customHeight="1" x14ac:dyDescent="0.25">
      <c r="B56" s="99"/>
      <c r="C56" s="100"/>
      <c r="D56" s="117">
        <v>3113</v>
      </c>
      <c r="E56" s="55" t="s">
        <v>109</v>
      </c>
      <c r="F56" s="102">
        <v>19908.419999999998</v>
      </c>
      <c r="G56" s="72"/>
      <c r="H56" s="72">
        <v>15261.71</v>
      </c>
      <c r="I56" s="72"/>
    </row>
    <row r="57" spans="2:9" ht="30" customHeight="1" x14ac:dyDescent="0.25">
      <c r="B57" s="99"/>
      <c r="C57" s="100"/>
      <c r="D57" s="117">
        <v>3114</v>
      </c>
      <c r="E57" s="55" t="s">
        <v>110</v>
      </c>
      <c r="F57" s="102">
        <v>16590.349999999999</v>
      </c>
      <c r="G57" s="72"/>
      <c r="H57" s="72">
        <v>9415.5400000000009</v>
      </c>
      <c r="I57" s="72"/>
    </row>
    <row r="58" spans="2:9" ht="30" customHeight="1" x14ac:dyDescent="0.25">
      <c r="B58" s="99"/>
      <c r="C58" s="100"/>
      <c r="D58" s="118">
        <v>312</v>
      </c>
      <c r="E58" s="55" t="s">
        <v>111</v>
      </c>
      <c r="F58" s="102">
        <v>115203.4</v>
      </c>
      <c r="G58" s="72"/>
      <c r="H58" s="72">
        <v>67545.72</v>
      </c>
      <c r="I58" s="72"/>
    </row>
    <row r="59" spans="2:9" ht="30" customHeight="1" x14ac:dyDescent="0.25">
      <c r="B59" s="99"/>
      <c r="C59" s="100"/>
      <c r="D59" s="117">
        <v>3121</v>
      </c>
      <c r="E59" s="55" t="s">
        <v>111</v>
      </c>
      <c r="F59" s="102">
        <v>115203.4</v>
      </c>
      <c r="G59" s="72"/>
      <c r="H59" s="72">
        <v>67545.72</v>
      </c>
      <c r="I59" s="72"/>
    </row>
    <row r="60" spans="2:9" ht="30" customHeight="1" x14ac:dyDescent="0.25">
      <c r="B60" s="99"/>
      <c r="C60" s="100"/>
      <c r="D60" s="118">
        <v>313</v>
      </c>
      <c r="E60" s="55" t="s">
        <v>112</v>
      </c>
      <c r="F60" s="102">
        <v>447382.04</v>
      </c>
      <c r="G60" s="72"/>
      <c r="H60" s="72">
        <v>227237.78</v>
      </c>
      <c r="I60" s="72"/>
    </row>
    <row r="61" spans="2:9" ht="30" customHeight="1" x14ac:dyDescent="0.25">
      <c r="B61" s="99"/>
      <c r="C61" s="100"/>
      <c r="D61" s="117">
        <v>3132</v>
      </c>
      <c r="E61" s="55" t="s">
        <v>209</v>
      </c>
      <c r="F61" s="102">
        <v>447382.04</v>
      </c>
      <c r="G61" s="72"/>
      <c r="H61" s="72">
        <v>227237.78</v>
      </c>
      <c r="I61" s="72"/>
    </row>
    <row r="62" spans="2:9" ht="30" customHeight="1" x14ac:dyDescent="0.25">
      <c r="B62" s="99"/>
      <c r="C62" s="100"/>
      <c r="D62" s="101">
        <v>32</v>
      </c>
      <c r="E62" s="55" t="s">
        <v>12</v>
      </c>
      <c r="F62" s="102">
        <f>2654.46+74988.39+6636.14+18581.19+392859.51+8626.98+7963.37+1990.84+22562.88+96927.47+5972.53+45789.37+15926.74+15926.74+13272.28+17253.97+58398.04+1327.23+3981.68+8892.43+8494.26+663.61+3318.07</f>
        <v>833008.18</v>
      </c>
      <c r="G62" s="72"/>
      <c r="H62" s="72">
        <f>324510.52+5973.83+79.64</f>
        <v>330563.99000000005</v>
      </c>
      <c r="I62" s="72"/>
    </row>
    <row r="63" spans="2:9" ht="30" customHeight="1" x14ac:dyDescent="0.25">
      <c r="B63" s="99"/>
      <c r="C63" s="100"/>
      <c r="D63" s="118">
        <v>321</v>
      </c>
      <c r="E63" s="55" t="s">
        <v>41</v>
      </c>
      <c r="F63" s="102">
        <f>2654.46+74988.39+6636.14</f>
        <v>84278.99</v>
      </c>
      <c r="G63" s="72"/>
      <c r="H63" s="72">
        <f>44474.49</f>
        <v>44474.49</v>
      </c>
      <c r="I63" s="72"/>
    </row>
    <row r="64" spans="2:9" ht="30" customHeight="1" x14ac:dyDescent="0.25">
      <c r="B64" s="99"/>
      <c r="C64" s="100"/>
      <c r="D64" s="117">
        <v>3211</v>
      </c>
      <c r="E64" s="55" t="s">
        <v>42</v>
      </c>
      <c r="F64" s="102">
        <v>2654.46</v>
      </c>
      <c r="G64" s="72"/>
      <c r="H64" s="72">
        <f>92.96+1560+508.69</f>
        <v>2161.65</v>
      </c>
      <c r="I64" s="72"/>
    </row>
    <row r="65" spans="2:9" ht="30" customHeight="1" x14ac:dyDescent="0.25">
      <c r="B65" s="99"/>
      <c r="C65" s="100"/>
      <c r="D65" s="117">
        <v>3212</v>
      </c>
      <c r="E65" s="55" t="s">
        <v>204</v>
      </c>
      <c r="F65" s="102">
        <v>74988.39</v>
      </c>
      <c r="G65" s="72"/>
      <c r="H65" s="72">
        <v>39640.120000000003</v>
      </c>
      <c r="I65" s="72"/>
    </row>
    <row r="66" spans="2:9" ht="30" customHeight="1" x14ac:dyDescent="0.25">
      <c r="B66" s="99"/>
      <c r="C66" s="100"/>
      <c r="D66" s="117">
        <v>3213</v>
      </c>
      <c r="E66" s="55" t="s">
        <v>205</v>
      </c>
      <c r="F66" s="102">
        <v>6636.14</v>
      </c>
      <c r="G66" s="72"/>
      <c r="H66" s="72">
        <f>2332.72+340</f>
        <v>2672.72</v>
      </c>
      <c r="I66" s="72"/>
    </row>
    <row r="67" spans="2:9" ht="30" customHeight="1" x14ac:dyDescent="0.25">
      <c r="B67" s="99"/>
      <c r="C67" s="100"/>
      <c r="D67" s="118">
        <v>322</v>
      </c>
      <c r="E67" s="55" t="s">
        <v>118</v>
      </c>
      <c r="F67" s="102">
        <f>18581.19+392859.51+8626.98+7963.37+1990.84</f>
        <v>430021.89</v>
      </c>
      <c r="G67" s="72"/>
      <c r="H67" s="72">
        <v>135994.60999999999</v>
      </c>
      <c r="I67" s="72"/>
    </row>
    <row r="68" spans="2:9" ht="30" customHeight="1" x14ac:dyDescent="0.25">
      <c r="B68" s="99"/>
      <c r="C68" s="100"/>
      <c r="D68" s="117">
        <v>3221</v>
      </c>
      <c r="E68" s="55" t="s">
        <v>206</v>
      </c>
      <c r="F68" s="102">
        <v>18581.189999999999</v>
      </c>
      <c r="G68" s="72"/>
      <c r="H68" s="72">
        <f>2235.65+486.42+1147.5+1274.42+2607.67+783.21</f>
        <v>8534.869999999999</v>
      </c>
      <c r="I68" s="72"/>
    </row>
    <row r="69" spans="2:9" ht="30" customHeight="1" x14ac:dyDescent="0.25">
      <c r="B69" s="99"/>
      <c r="C69" s="100"/>
      <c r="D69" s="117">
        <v>3223</v>
      </c>
      <c r="E69" s="55" t="s">
        <v>120</v>
      </c>
      <c r="F69" s="102">
        <v>392859.51</v>
      </c>
      <c r="G69" s="72"/>
      <c r="H69" s="72">
        <f>61096.2+6156.83+47487.05+4792.34</f>
        <v>119532.42</v>
      </c>
      <c r="I69" s="72"/>
    </row>
    <row r="70" spans="2:9" ht="30" customHeight="1" x14ac:dyDescent="0.25">
      <c r="B70" s="99"/>
      <c r="C70" s="100"/>
      <c r="D70" s="117">
        <v>3224</v>
      </c>
      <c r="E70" s="55" t="s">
        <v>121</v>
      </c>
      <c r="F70" s="102">
        <v>8626.98</v>
      </c>
      <c r="G70" s="72"/>
      <c r="H70" s="72">
        <f>560.52+1028.38+213.08+385</f>
        <v>2186.98</v>
      </c>
      <c r="I70" s="72"/>
    </row>
    <row r="71" spans="2:9" ht="30" customHeight="1" x14ac:dyDescent="0.25">
      <c r="B71" s="99"/>
      <c r="C71" s="100"/>
      <c r="D71" s="117">
        <v>3225</v>
      </c>
      <c r="E71" s="55" t="s">
        <v>207</v>
      </c>
      <c r="F71" s="102">
        <v>7963.37</v>
      </c>
      <c r="G71" s="72"/>
      <c r="H71" s="72">
        <f>4216.28+1325</f>
        <v>5541.28</v>
      </c>
      <c r="I71" s="72"/>
    </row>
    <row r="72" spans="2:9" ht="30" customHeight="1" x14ac:dyDescent="0.25">
      <c r="B72" s="99"/>
      <c r="C72" s="100"/>
      <c r="D72" s="117">
        <v>3227</v>
      </c>
      <c r="E72" s="55" t="s">
        <v>208</v>
      </c>
      <c r="F72" s="102">
        <v>1990.84</v>
      </c>
      <c r="G72" s="72"/>
      <c r="H72" s="72">
        <v>199.06</v>
      </c>
      <c r="I72" s="72"/>
    </row>
    <row r="73" spans="2:9" ht="30" customHeight="1" x14ac:dyDescent="0.25">
      <c r="B73" s="99"/>
      <c r="C73" s="100"/>
      <c r="D73" s="118">
        <v>323</v>
      </c>
      <c r="E73" s="55" t="s">
        <v>123</v>
      </c>
      <c r="F73" s="102">
        <f>22562.88+96927.47+5972.53+45789.37+15926.74+15926.74+13272.28+17253.97+58398.04</f>
        <v>292030.01999999996</v>
      </c>
      <c r="G73" s="72"/>
      <c r="H73" s="72">
        <f>132057.63+5973.83</f>
        <v>138031.46</v>
      </c>
      <c r="I73" s="72"/>
    </row>
    <row r="74" spans="2:9" ht="30" customHeight="1" x14ac:dyDescent="0.25">
      <c r="B74" s="99"/>
      <c r="C74" s="100"/>
      <c r="D74" s="117">
        <v>3231</v>
      </c>
      <c r="E74" s="55" t="s">
        <v>124</v>
      </c>
      <c r="F74" s="102">
        <v>22562.880000000001</v>
      </c>
      <c r="G74" s="72"/>
      <c r="H74" s="72">
        <f>5183.42+1889.02+537.32+1442.37+764.64</f>
        <v>9816.77</v>
      </c>
      <c r="I74" s="72"/>
    </row>
    <row r="75" spans="2:9" ht="30" customHeight="1" x14ac:dyDescent="0.25">
      <c r="B75" s="99"/>
      <c r="C75" s="100"/>
      <c r="D75" s="117">
        <v>3232</v>
      </c>
      <c r="E75" s="55" t="s">
        <v>125</v>
      </c>
      <c r="F75" s="102">
        <v>96927.47</v>
      </c>
      <c r="G75" s="72"/>
      <c r="H75" s="72">
        <f>30960.62+24705.34+1774.54+1600+5973.83</f>
        <v>65014.33</v>
      </c>
      <c r="I75" s="72"/>
    </row>
    <row r="76" spans="2:9" ht="30" customHeight="1" x14ac:dyDescent="0.25">
      <c r="B76" s="99"/>
      <c r="C76" s="100"/>
      <c r="D76" s="117">
        <v>3233</v>
      </c>
      <c r="E76" s="55" t="s">
        <v>126</v>
      </c>
      <c r="F76" s="102">
        <v>5972.53</v>
      </c>
      <c r="G76" s="72"/>
      <c r="H76" s="72">
        <f>1260.85+1195.51</f>
        <v>2456.3599999999997</v>
      </c>
      <c r="I76" s="72"/>
    </row>
    <row r="77" spans="2:9" ht="30" customHeight="1" x14ac:dyDescent="0.25">
      <c r="B77" s="99"/>
      <c r="C77" s="100"/>
      <c r="D77" s="117">
        <v>3234</v>
      </c>
      <c r="E77" s="55" t="s">
        <v>127</v>
      </c>
      <c r="F77" s="102">
        <v>45789.37</v>
      </c>
      <c r="G77" s="72"/>
      <c r="H77" s="72">
        <f>8487.72+2599.92+937.5+498.09+7210.87</f>
        <v>19734.099999999999</v>
      </c>
      <c r="I77" s="72"/>
    </row>
    <row r="78" spans="2:9" ht="30" customHeight="1" x14ac:dyDescent="0.25">
      <c r="B78" s="99"/>
      <c r="C78" s="100"/>
      <c r="D78" s="117">
        <v>3235</v>
      </c>
      <c r="E78" s="55" t="s">
        <v>128</v>
      </c>
      <c r="F78" s="102">
        <v>15926.74</v>
      </c>
      <c r="G78" s="72"/>
      <c r="H78" s="72">
        <f>8452.12+3187.2</f>
        <v>11639.32</v>
      </c>
      <c r="I78" s="72"/>
    </row>
    <row r="79" spans="2:9" ht="30" customHeight="1" x14ac:dyDescent="0.25">
      <c r="B79" s="99"/>
      <c r="C79" s="100"/>
      <c r="D79" s="117">
        <v>3236</v>
      </c>
      <c r="E79" s="55" t="s">
        <v>210</v>
      </c>
      <c r="F79" s="102">
        <v>15926.74</v>
      </c>
      <c r="G79" s="72"/>
      <c r="H79" s="72">
        <v>146.27000000000001</v>
      </c>
      <c r="I79" s="72"/>
    </row>
    <row r="80" spans="2:9" ht="30" customHeight="1" x14ac:dyDescent="0.25">
      <c r="B80" s="99"/>
      <c r="C80" s="100"/>
      <c r="D80" s="117">
        <v>3237</v>
      </c>
      <c r="E80" s="55" t="s">
        <v>130</v>
      </c>
      <c r="F80" s="102">
        <v>13272.28</v>
      </c>
      <c r="G80" s="72"/>
      <c r="H80" s="72">
        <f>53.09+16.4+5.79+1.93+5.79+2924.02+262.94+712.36</f>
        <v>3982.32</v>
      </c>
      <c r="I80" s="72"/>
    </row>
    <row r="81" spans="2:9" ht="30" customHeight="1" x14ac:dyDescent="0.25">
      <c r="B81" s="99"/>
      <c r="C81" s="100"/>
      <c r="D81" s="117">
        <v>3238</v>
      </c>
      <c r="E81" s="55" t="s">
        <v>131</v>
      </c>
      <c r="F81" s="102">
        <v>17253.97</v>
      </c>
      <c r="G81" s="72"/>
      <c r="H81" s="72">
        <v>3152.2</v>
      </c>
      <c r="I81" s="72"/>
    </row>
    <row r="82" spans="2:9" ht="30" customHeight="1" x14ac:dyDescent="0.25">
      <c r="B82" s="99"/>
      <c r="C82" s="100"/>
      <c r="D82" s="117">
        <v>3239</v>
      </c>
      <c r="E82" s="55" t="s">
        <v>132</v>
      </c>
      <c r="F82" s="102">
        <v>58398.04</v>
      </c>
      <c r="G82" s="72"/>
      <c r="H82" s="72">
        <f>796.02+524+20620.44+149.33</f>
        <v>22089.79</v>
      </c>
      <c r="I82" s="72"/>
    </row>
    <row r="83" spans="2:9" ht="30" customHeight="1" x14ac:dyDescent="0.25">
      <c r="B83" s="99"/>
      <c r="C83" s="100"/>
      <c r="D83" s="118">
        <v>329</v>
      </c>
      <c r="E83" s="55" t="s">
        <v>135</v>
      </c>
      <c r="F83" s="102">
        <f>1327.23+3981.68+8892.43+8494.26+663.61+3318.07</f>
        <v>26677.279999999999</v>
      </c>
      <c r="G83" s="72"/>
      <c r="H83" s="72">
        <f>11983.79+79.64</f>
        <v>12063.43</v>
      </c>
      <c r="I83" s="72"/>
    </row>
    <row r="84" spans="2:9" ht="30" customHeight="1" x14ac:dyDescent="0.25">
      <c r="B84" s="99"/>
      <c r="C84" s="100"/>
      <c r="D84" s="117">
        <v>3291</v>
      </c>
      <c r="E84" s="55" t="s">
        <v>211</v>
      </c>
      <c r="F84" s="102">
        <v>1327.23</v>
      </c>
      <c r="G84" s="72"/>
      <c r="H84" s="72">
        <v>0</v>
      </c>
      <c r="I84" s="72"/>
    </row>
    <row r="85" spans="2:9" ht="30" customHeight="1" x14ac:dyDescent="0.25">
      <c r="B85" s="99"/>
      <c r="C85" s="100"/>
      <c r="D85" s="117">
        <v>3292</v>
      </c>
      <c r="E85" s="55" t="s">
        <v>136</v>
      </c>
      <c r="F85" s="102">
        <v>3981.68</v>
      </c>
      <c r="G85" s="72"/>
      <c r="H85" s="72">
        <v>1910.64</v>
      </c>
      <c r="I85" s="72"/>
    </row>
    <row r="86" spans="2:9" ht="30" customHeight="1" x14ac:dyDescent="0.25">
      <c r="B86" s="99"/>
      <c r="C86" s="100"/>
      <c r="D86" s="117">
        <v>3294</v>
      </c>
      <c r="E86" s="55" t="s">
        <v>138</v>
      </c>
      <c r="F86" s="102">
        <v>8892.43</v>
      </c>
      <c r="G86" s="72"/>
      <c r="H86" s="72">
        <v>5438.27</v>
      </c>
      <c r="I86" s="72"/>
    </row>
    <row r="87" spans="2:9" ht="30" customHeight="1" x14ac:dyDescent="0.25">
      <c r="B87" s="99"/>
      <c r="C87" s="100"/>
      <c r="D87" s="117">
        <v>3295</v>
      </c>
      <c r="E87" s="55" t="s">
        <v>139</v>
      </c>
      <c r="F87" s="102">
        <v>8494.26</v>
      </c>
      <c r="G87" s="72"/>
      <c r="H87" s="72">
        <f>92.89+3422.14+79.64</f>
        <v>3594.6699999999996</v>
      </c>
      <c r="I87" s="72"/>
    </row>
    <row r="88" spans="2:9" ht="30" customHeight="1" x14ac:dyDescent="0.25">
      <c r="B88" s="99"/>
      <c r="C88" s="100"/>
      <c r="D88" s="117">
        <v>3296</v>
      </c>
      <c r="E88" s="55" t="s">
        <v>140</v>
      </c>
      <c r="F88" s="102">
        <v>663.61</v>
      </c>
      <c r="G88" s="72"/>
      <c r="H88" s="72">
        <v>1119.8499999999999</v>
      </c>
      <c r="I88" s="72"/>
    </row>
    <row r="89" spans="2:9" ht="30" customHeight="1" x14ac:dyDescent="0.25">
      <c r="B89" s="99"/>
      <c r="C89" s="100"/>
      <c r="D89" s="117">
        <v>3299</v>
      </c>
      <c r="E89" s="55" t="s">
        <v>135</v>
      </c>
      <c r="F89" s="102">
        <v>3318.07</v>
      </c>
      <c r="G89" s="72"/>
      <c r="H89" s="72">
        <v>0</v>
      </c>
      <c r="I89" s="72"/>
    </row>
    <row r="90" spans="2:9" ht="30" customHeight="1" x14ac:dyDescent="0.25">
      <c r="B90" s="99"/>
      <c r="C90" s="100"/>
      <c r="D90" s="101">
        <v>34</v>
      </c>
      <c r="E90" s="55" t="s">
        <v>141</v>
      </c>
      <c r="F90" s="102">
        <f>3318.07+265.45</f>
        <v>3583.52</v>
      </c>
      <c r="G90" s="72"/>
      <c r="H90" s="72">
        <v>1800.08</v>
      </c>
      <c r="I90" s="72"/>
    </row>
    <row r="91" spans="2:9" ht="30" customHeight="1" x14ac:dyDescent="0.25">
      <c r="B91" s="99"/>
      <c r="C91" s="100"/>
      <c r="D91" s="118">
        <v>343</v>
      </c>
      <c r="E91" s="55" t="s">
        <v>146</v>
      </c>
      <c r="F91" s="102">
        <f>3318.07+265.45</f>
        <v>3583.52</v>
      </c>
      <c r="G91" s="72"/>
      <c r="H91" s="72">
        <v>1800.08</v>
      </c>
      <c r="I91" s="72"/>
    </row>
    <row r="92" spans="2:9" ht="30" customHeight="1" x14ac:dyDescent="0.25">
      <c r="B92" s="99"/>
      <c r="C92" s="100"/>
      <c r="D92" s="117">
        <v>3431</v>
      </c>
      <c r="E92" s="55" t="s">
        <v>142</v>
      </c>
      <c r="F92" s="102">
        <v>3318.07</v>
      </c>
      <c r="G92" s="72"/>
      <c r="H92" s="72">
        <f>1094.23+221.21</f>
        <v>1315.44</v>
      </c>
      <c r="I92" s="72"/>
    </row>
    <row r="93" spans="2:9" ht="30" customHeight="1" x14ac:dyDescent="0.25">
      <c r="B93" s="99"/>
      <c r="C93" s="100"/>
      <c r="D93" s="117">
        <v>3433</v>
      </c>
      <c r="E93" s="55" t="s">
        <v>144</v>
      </c>
      <c r="F93" s="102">
        <v>265.45</v>
      </c>
      <c r="G93" s="72"/>
      <c r="H93" s="72">
        <v>484.64</v>
      </c>
      <c r="I93" s="72"/>
    </row>
    <row r="94" spans="2:9" ht="30" customHeight="1" x14ac:dyDescent="0.25">
      <c r="B94" s="105">
        <v>31</v>
      </c>
      <c r="C94" s="110"/>
      <c r="D94" s="111"/>
      <c r="E94" s="108" t="s">
        <v>185</v>
      </c>
      <c r="F94" s="109">
        <v>175539.62</v>
      </c>
      <c r="G94" s="72"/>
      <c r="H94" s="80">
        <f>H95</f>
        <v>105011.16</v>
      </c>
      <c r="I94" s="72"/>
    </row>
    <row r="95" spans="2:9" ht="30" customHeight="1" x14ac:dyDescent="0.25">
      <c r="B95" s="99" t="s">
        <v>195</v>
      </c>
      <c r="C95" s="100"/>
      <c r="D95" s="101"/>
      <c r="E95" s="55" t="s">
        <v>194</v>
      </c>
      <c r="F95" s="102">
        <v>175539.62</v>
      </c>
      <c r="G95" s="72"/>
      <c r="H95" s="72">
        <f>H96+H141</f>
        <v>105011.16</v>
      </c>
      <c r="I95" s="72"/>
    </row>
    <row r="96" spans="2:9" ht="30" customHeight="1" x14ac:dyDescent="0.25">
      <c r="B96" s="99"/>
      <c r="C96" s="100">
        <v>3</v>
      </c>
      <c r="D96" s="101"/>
      <c r="E96" s="55" t="s">
        <v>4</v>
      </c>
      <c r="F96" s="102">
        <f>+F95-F141</f>
        <v>107173.65</v>
      </c>
      <c r="G96" s="72"/>
      <c r="H96" s="72">
        <f>H97+H103+H132</f>
        <v>55526.799999999996</v>
      </c>
      <c r="I96" s="72"/>
    </row>
    <row r="97" spans="2:9" ht="30" customHeight="1" x14ac:dyDescent="0.25">
      <c r="B97" s="99"/>
      <c r="C97" s="100"/>
      <c r="D97" s="101">
        <v>31</v>
      </c>
      <c r="E97" s="55" t="s">
        <v>5</v>
      </c>
      <c r="F97" s="102">
        <f>796.34+1128.14+34507.93</f>
        <v>36432.410000000003</v>
      </c>
      <c r="G97" s="72"/>
      <c r="H97" s="72">
        <v>29807.25</v>
      </c>
      <c r="I97" s="72"/>
    </row>
    <row r="98" spans="2:9" ht="30" customHeight="1" x14ac:dyDescent="0.25">
      <c r="B98" s="99"/>
      <c r="C98" s="100"/>
      <c r="D98" s="118">
        <v>311</v>
      </c>
      <c r="E98" s="55" t="s">
        <v>201</v>
      </c>
      <c r="F98" s="102">
        <f>796.34+1128.14</f>
        <v>1924.48</v>
      </c>
      <c r="G98" s="72"/>
      <c r="H98" s="72">
        <f>24.48+176.78+219.52</f>
        <v>420.78</v>
      </c>
      <c r="I98" s="72"/>
    </row>
    <row r="99" spans="2:9" ht="30" customHeight="1" x14ac:dyDescent="0.25">
      <c r="B99" s="99"/>
      <c r="C99" s="100"/>
      <c r="D99" s="117">
        <v>3111</v>
      </c>
      <c r="E99" s="55" t="s">
        <v>40</v>
      </c>
      <c r="F99" s="102">
        <v>796.34</v>
      </c>
      <c r="G99" s="72"/>
      <c r="H99" s="72">
        <v>24.48</v>
      </c>
      <c r="I99" s="72"/>
    </row>
    <row r="100" spans="2:9" ht="30" customHeight="1" x14ac:dyDescent="0.25">
      <c r="B100" s="99"/>
      <c r="C100" s="100"/>
      <c r="D100" s="117">
        <v>3112</v>
      </c>
      <c r="E100" s="55" t="s">
        <v>108</v>
      </c>
      <c r="F100" s="102">
        <v>1128.1400000000001</v>
      </c>
      <c r="G100" s="72"/>
      <c r="H100" s="72">
        <f>176.78+219.52</f>
        <v>396.3</v>
      </c>
      <c r="I100" s="72"/>
    </row>
    <row r="101" spans="2:9" ht="30" customHeight="1" x14ac:dyDescent="0.25">
      <c r="B101" s="99"/>
      <c r="C101" s="100"/>
      <c r="D101" s="118">
        <v>312</v>
      </c>
      <c r="E101" s="55" t="s">
        <v>111</v>
      </c>
      <c r="F101" s="102">
        <v>34507.93</v>
      </c>
      <c r="G101" s="72"/>
      <c r="H101" s="72">
        <f>9115.32+177.79+20093.36</f>
        <v>29386.47</v>
      </c>
      <c r="I101" s="72"/>
    </row>
    <row r="102" spans="2:9" ht="30" customHeight="1" x14ac:dyDescent="0.25">
      <c r="B102" s="99"/>
      <c r="C102" s="100"/>
      <c r="D102" s="117">
        <v>3121</v>
      </c>
      <c r="E102" s="55" t="s">
        <v>111</v>
      </c>
      <c r="F102" s="102">
        <v>34507.93</v>
      </c>
      <c r="G102" s="72"/>
      <c r="H102" s="72">
        <f>9115.32+20093.36+177.79</f>
        <v>29386.47</v>
      </c>
      <c r="I102" s="72"/>
    </row>
    <row r="103" spans="2:9" ht="30" customHeight="1" x14ac:dyDescent="0.25">
      <c r="B103" s="99"/>
      <c r="C103" s="100"/>
      <c r="D103" s="101">
        <v>32</v>
      </c>
      <c r="E103" s="55" t="s">
        <v>12</v>
      </c>
      <c r="F103" s="102">
        <f>3981.68+1327.23+1327.23+1990.84+3981.68+1327.23+1327.23+1327.23+13272.28+1327.23+1327.23+6636.14+1327.23+3981.68+3981.68+3981.68+1327.23+1990.84+9290.6+1327.23+1327.23+132.72</f>
        <v>67821.349999999991</v>
      </c>
      <c r="G103" s="72"/>
      <c r="H103" s="72">
        <f>H104+H108+H113+H125</f>
        <v>25302.85</v>
      </c>
      <c r="I103" s="72"/>
    </row>
    <row r="104" spans="2:9" ht="30" customHeight="1" x14ac:dyDescent="0.25">
      <c r="B104" s="99"/>
      <c r="C104" s="100"/>
      <c r="D104" s="118">
        <v>321</v>
      </c>
      <c r="E104" s="55" t="s">
        <v>41</v>
      </c>
      <c r="F104" s="102">
        <f>3981.68+1327.23+1327.23</f>
        <v>6636.1399999999994</v>
      </c>
      <c r="G104" s="72"/>
      <c r="H104" s="72">
        <v>3500</v>
      </c>
      <c r="I104" s="72"/>
    </row>
    <row r="105" spans="2:9" ht="30" customHeight="1" x14ac:dyDescent="0.25">
      <c r="B105" s="99"/>
      <c r="C105" s="100"/>
      <c r="D105" s="117">
        <v>3211</v>
      </c>
      <c r="E105" s="55" t="s">
        <v>42</v>
      </c>
      <c r="F105" s="102">
        <v>3981.68</v>
      </c>
      <c r="G105" s="72"/>
      <c r="H105" s="72">
        <v>0</v>
      </c>
      <c r="I105" s="72"/>
    </row>
    <row r="106" spans="2:9" ht="30" customHeight="1" x14ac:dyDescent="0.25">
      <c r="B106" s="99"/>
      <c r="C106" s="100"/>
      <c r="D106" s="117">
        <v>3213</v>
      </c>
      <c r="E106" s="55" t="s">
        <v>205</v>
      </c>
      <c r="F106" s="102">
        <v>1327.23</v>
      </c>
      <c r="G106" s="72"/>
      <c r="H106" s="72">
        <v>3500</v>
      </c>
      <c r="I106" s="72"/>
    </row>
    <row r="107" spans="2:9" ht="30" customHeight="1" x14ac:dyDescent="0.25">
      <c r="B107" s="99"/>
      <c r="C107" s="100"/>
      <c r="D107" s="117">
        <v>3214</v>
      </c>
      <c r="E107" s="55" t="s">
        <v>117</v>
      </c>
      <c r="F107" s="102">
        <v>1327.23</v>
      </c>
      <c r="G107" s="72"/>
      <c r="H107" s="72">
        <v>0</v>
      </c>
      <c r="I107" s="72"/>
    </row>
    <row r="108" spans="2:9" ht="30" customHeight="1" x14ac:dyDescent="0.25">
      <c r="B108" s="99"/>
      <c r="C108" s="100"/>
      <c r="D108" s="118">
        <v>322</v>
      </c>
      <c r="E108" s="55" t="s">
        <v>118</v>
      </c>
      <c r="F108" s="102">
        <f>1990.84+3981.68+1327.23+1327.23</f>
        <v>8626.98</v>
      </c>
      <c r="G108" s="72"/>
      <c r="H108" s="72">
        <v>960.5</v>
      </c>
      <c r="I108" s="72"/>
    </row>
    <row r="109" spans="2:9" ht="30" customHeight="1" x14ac:dyDescent="0.25">
      <c r="B109" s="99"/>
      <c r="C109" s="100"/>
      <c r="D109" s="117">
        <v>3221</v>
      </c>
      <c r="E109" s="55" t="s">
        <v>206</v>
      </c>
      <c r="F109" s="102">
        <v>1990.84</v>
      </c>
      <c r="G109" s="72"/>
      <c r="H109" s="72">
        <v>53</v>
      </c>
      <c r="I109" s="72"/>
    </row>
    <row r="110" spans="2:9" ht="30" customHeight="1" x14ac:dyDescent="0.25">
      <c r="B110" s="99"/>
      <c r="C110" s="100"/>
      <c r="D110" s="117">
        <v>3223</v>
      </c>
      <c r="E110" s="55" t="s">
        <v>120</v>
      </c>
      <c r="F110" s="102">
        <v>3981.68</v>
      </c>
      <c r="G110" s="72"/>
      <c r="H110" s="72">
        <v>0</v>
      </c>
      <c r="I110" s="72"/>
    </row>
    <row r="111" spans="2:9" ht="30" customHeight="1" x14ac:dyDescent="0.25">
      <c r="B111" s="99"/>
      <c r="C111" s="100"/>
      <c r="D111" s="117">
        <v>3225</v>
      </c>
      <c r="E111" s="55" t="s">
        <v>207</v>
      </c>
      <c r="F111" s="102">
        <v>1327.23</v>
      </c>
      <c r="G111" s="72"/>
      <c r="H111" s="72">
        <v>907.5</v>
      </c>
      <c r="I111" s="72"/>
    </row>
    <row r="112" spans="2:9" ht="30" customHeight="1" x14ac:dyDescent="0.25">
      <c r="B112" s="99"/>
      <c r="C112" s="100"/>
      <c r="D112" s="117">
        <v>3227</v>
      </c>
      <c r="E112" s="55" t="s">
        <v>208</v>
      </c>
      <c r="F112" s="102">
        <v>1327.23</v>
      </c>
      <c r="G112" s="72"/>
      <c r="H112" s="72">
        <v>0</v>
      </c>
      <c r="I112" s="72"/>
    </row>
    <row r="113" spans="2:9" ht="30" customHeight="1" x14ac:dyDescent="0.25">
      <c r="B113" s="99"/>
      <c r="C113" s="100"/>
      <c r="D113" s="118">
        <v>323</v>
      </c>
      <c r="E113" s="55" t="s">
        <v>123</v>
      </c>
      <c r="F113" s="102">
        <f>1327.23+13272.28+1327.23+1327.23+6636.14+1327.23+3981.68+3981.68+3981.68</f>
        <v>37162.379999999997</v>
      </c>
      <c r="G113" s="72"/>
      <c r="H113" s="72">
        <v>3047</v>
      </c>
      <c r="I113" s="72"/>
    </row>
    <row r="114" spans="2:9" ht="30" customHeight="1" x14ac:dyDescent="0.25">
      <c r="B114" s="99"/>
      <c r="C114" s="100"/>
      <c r="D114" s="117">
        <v>3231</v>
      </c>
      <c r="E114" s="55" t="s">
        <v>124</v>
      </c>
      <c r="F114" s="102">
        <v>1327.23</v>
      </c>
      <c r="G114" s="72"/>
      <c r="H114" s="72">
        <v>174.85</v>
      </c>
      <c r="I114" s="72"/>
    </row>
    <row r="115" spans="2:9" ht="30" customHeight="1" x14ac:dyDescent="0.25">
      <c r="B115" s="99"/>
      <c r="C115" s="100"/>
      <c r="D115" s="117">
        <v>3232</v>
      </c>
      <c r="E115" s="55" t="s">
        <v>125</v>
      </c>
      <c r="F115" s="102">
        <v>13272.28</v>
      </c>
      <c r="G115" s="72"/>
      <c r="H115" s="72">
        <v>723.17</v>
      </c>
      <c r="I115" s="72"/>
    </row>
    <row r="116" spans="2:9" ht="30" customHeight="1" x14ac:dyDescent="0.25">
      <c r="B116" s="99"/>
      <c r="C116" s="100"/>
      <c r="D116" s="117">
        <v>3233</v>
      </c>
      <c r="E116" s="55" t="s">
        <v>126</v>
      </c>
      <c r="F116" s="102">
        <v>1327.23</v>
      </c>
      <c r="G116" s="72"/>
      <c r="H116" s="72">
        <v>0</v>
      </c>
      <c r="I116" s="72"/>
    </row>
    <row r="117" spans="2:9" ht="30" customHeight="1" x14ac:dyDescent="0.25">
      <c r="B117" s="99"/>
      <c r="C117" s="100"/>
      <c r="D117" s="117">
        <v>3234</v>
      </c>
      <c r="E117" s="55" t="s">
        <v>127</v>
      </c>
      <c r="F117" s="102">
        <v>1327.23</v>
      </c>
      <c r="G117" s="72"/>
      <c r="H117" s="72">
        <f>774.04+417.76+332.18</f>
        <v>1523.98</v>
      </c>
      <c r="I117" s="72"/>
    </row>
    <row r="118" spans="2:9" ht="30" customHeight="1" x14ac:dyDescent="0.25">
      <c r="B118" s="99"/>
      <c r="C118" s="100"/>
      <c r="D118" s="117">
        <v>3235</v>
      </c>
      <c r="E118" s="55" t="s">
        <v>128</v>
      </c>
      <c r="F118" s="102">
        <v>6636.14</v>
      </c>
      <c r="G118" s="72"/>
      <c r="H118" s="72">
        <v>0</v>
      </c>
      <c r="I118" s="72"/>
    </row>
    <row r="119" spans="2:9" ht="30" customHeight="1" x14ac:dyDescent="0.25">
      <c r="B119" s="99"/>
      <c r="C119" s="100"/>
      <c r="D119" s="117">
        <v>3236</v>
      </c>
      <c r="E119" s="55" t="s">
        <v>210</v>
      </c>
      <c r="F119" s="102">
        <v>1327.23</v>
      </c>
      <c r="G119" s="72"/>
      <c r="H119" s="72">
        <v>0</v>
      </c>
      <c r="I119" s="72"/>
    </row>
    <row r="120" spans="2:9" ht="30" customHeight="1" x14ac:dyDescent="0.25">
      <c r="B120" s="99"/>
      <c r="C120" s="100"/>
      <c r="D120" s="117">
        <v>3237</v>
      </c>
      <c r="E120" s="55" t="s">
        <v>130</v>
      </c>
      <c r="F120" s="102">
        <v>3981.68</v>
      </c>
      <c r="G120" s="72"/>
      <c r="H120" s="72">
        <v>625</v>
      </c>
      <c r="I120" s="72"/>
    </row>
    <row r="121" spans="2:9" ht="30" customHeight="1" x14ac:dyDescent="0.25">
      <c r="B121" s="99"/>
      <c r="C121" s="100"/>
      <c r="D121" s="117">
        <v>3238</v>
      </c>
      <c r="E121" s="55" t="s">
        <v>131</v>
      </c>
      <c r="F121" s="102">
        <v>3981.68</v>
      </c>
      <c r="G121" s="72"/>
      <c r="H121" s="72">
        <v>0</v>
      </c>
      <c r="I121" s="72"/>
    </row>
    <row r="122" spans="2:9" ht="30" customHeight="1" x14ac:dyDescent="0.25">
      <c r="B122" s="99"/>
      <c r="C122" s="100"/>
      <c r="D122" s="117">
        <v>3239</v>
      </c>
      <c r="E122" s="55" t="s">
        <v>132</v>
      </c>
      <c r="F122" s="102">
        <v>3981.68</v>
      </c>
      <c r="G122" s="72"/>
      <c r="H122" s="72">
        <v>0</v>
      </c>
      <c r="I122" s="72"/>
    </row>
    <row r="123" spans="2:9" ht="30" customHeight="1" x14ac:dyDescent="0.25">
      <c r="B123" s="99"/>
      <c r="C123" s="100"/>
      <c r="D123" s="118">
        <v>324</v>
      </c>
      <c r="E123" s="55" t="s">
        <v>133</v>
      </c>
      <c r="F123" s="102">
        <v>1327.23</v>
      </c>
      <c r="G123" s="72"/>
      <c r="H123" s="72">
        <v>0</v>
      </c>
      <c r="I123" s="72"/>
    </row>
    <row r="124" spans="2:9" ht="30" customHeight="1" x14ac:dyDescent="0.25">
      <c r="B124" s="99"/>
      <c r="C124" s="100"/>
      <c r="D124" s="117">
        <v>3241</v>
      </c>
      <c r="E124" s="55" t="s">
        <v>212</v>
      </c>
      <c r="F124" s="102">
        <v>1327.23</v>
      </c>
      <c r="G124" s="72"/>
      <c r="H124" s="72">
        <v>0</v>
      </c>
      <c r="I124" s="72"/>
    </row>
    <row r="125" spans="2:9" ht="30" customHeight="1" x14ac:dyDescent="0.25">
      <c r="B125" s="99"/>
      <c r="C125" s="100"/>
      <c r="D125" s="118">
        <v>329</v>
      </c>
      <c r="E125" s="55" t="s">
        <v>135</v>
      </c>
      <c r="F125" s="102">
        <f>1990.84+9290.6+1327.23+1327.23+132.72</f>
        <v>14068.619999999999</v>
      </c>
      <c r="G125" s="72"/>
      <c r="H125" s="72">
        <v>17795.349999999999</v>
      </c>
      <c r="I125" s="72"/>
    </row>
    <row r="126" spans="2:9" ht="30" customHeight="1" x14ac:dyDescent="0.25">
      <c r="B126" s="99"/>
      <c r="C126" s="100"/>
      <c r="D126" s="117">
        <v>3291</v>
      </c>
      <c r="E126" s="55" t="s">
        <v>211</v>
      </c>
      <c r="F126" s="102">
        <v>1990.84</v>
      </c>
      <c r="G126" s="72"/>
      <c r="H126" s="72">
        <v>0</v>
      </c>
      <c r="I126" s="72"/>
    </row>
    <row r="127" spans="2:9" ht="30" customHeight="1" x14ac:dyDescent="0.25">
      <c r="B127" s="99"/>
      <c r="C127" s="100"/>
      <c r="D127" s="117">
        <v>3293</v>
      </c>
      <c r="E127" s="55" t="s">
        <v>137</v>
      </c>
      <c r="F127" s="102">
        <v>9290.6</v>
      </c>
      <c r="G127" s="72"/>
      <c r="H127" s="72">
        <v>9385.49</v>
      </c>
      <c r="I127" s="72"/>
    </row>
    <row r="128" spans="2:9" ht="30" customHeight="1" x14ac:dyDescent="0.25">
      <c r="B128" s="99"/>
      <c r="C128" s="100"/>
      <c r="D128" s="117">
        <v>3294</v>
      </c>
      <c r="E128" s="55" t="s">
        <v>138</v>
      </c>
      <c r="F128" s="102">
        <v>1327.23</v>
      </c>
      <c r="G128" s="72"/>
      <c r="H128" s="72">
        <v>0</v>
      </c>
      <c r="I128" s="72"/>
    </row>
    <row r="129" spans="2:9" ht="30" customHeight="1" x14ac:dyDescent="0.25">
      <c r="B129" s="99"/>
      <c r="C129" s="100"/>
      <c r="D129" s="117">
        <v>3295</v>
      </c>
      <c r="E129" s="55" t="s">
        <v>139</v>
      </c>
      <c r="F129" s="102">
        <v>0</v>
      </c>
      <c r="G129" s="72"/>
      <c r="H129" s="72">
        <v>14.86</v>
      </c>
      <c r="I129" s="72"/>
    </row>
    <row r="130" spans="2:9" ht="30" customHeight="1" x14ac:dyDescent="0.25">
      <c r="B130" s="99"/>
      <c r="C130" s="100"/>
      <c r="D130" s="117">
        <v>3296</v>
      </c>
      <c r="E130" s="55" t="s">
        <v>140</v>
      </c>
      <c r="F130" s="102">
        <v>1327.23</v>
      </c>
      <c r="G130" s="72"/>
      <c r="H130" s="72">
        <v>0</v>
      </c>
      <c r="I130" s="72"/>
    </row>
    <row r="131" spans="2:9" ht="30" customHeight="1" x14ac:dyDescent="0.25">
      <c r="B131" s="99"/>
      <c r="C131" s="100"/>
      <c r="D131" s="117">
        <v>3299</v>
      </c>
      <c r="E131" s="55" t="s">
        <v>135</v>
      </c>
      <c r="F131" s="102">
        <v>132.72</v>
      </c>
      <c r="G131" s="72"/>
      <c r="H131" s="72">
        <v>8395</v>
      </c>
      <c r="I131" s="72"/>
    </row>
    <row r="132" spans="2:9" ht="30" customHeight="1" x14ac:dyDescent="0.25">
      <c r="B132" s="99"/>
      <c r="C132" s="100"/>
      <c r="D132" s="101">
        <v>34</v>
      </c>
      <c r="E132" s="55" t="s">
        <v>141</v>
      </c>
      <c r="F132" s="102">
        <f>663.61+199.08+66.36+663.61</f>
        <v>1592.66</v>
      </c>
      <c r="G132" s="72"/>
      <c r="H132" s="72">
        <v>416.7</v>
      </c>
      <c r="I132" s="72"/>
    </row>
    <row r="133" spans="2:9" ht="30" customHeight="1" x14ac:dyDescent="0.25">
      <c r="B133" s="99"/>
      <c r="C133" s="100"/>
      <c r="D133" s="118">
        <v>343</v>
      </c>
      <c r="E133" s="55" t="s">
        <v>146</v>
      </c>
      <c r="F133" s="102">
        <f>663.61+199.08+66.36+663.61</f>
        <v>1592.66</v>
      </c>
      <c r="G133" s="72"/>
      <c r="H133" s="72">
        <v>416.7</v>
      </c>
      <c r="I133" s="72"/>
    </row>
    <row r="134" spans="2:9" ht="30" customHeight="1" x14ac:dyDescent="0.25">
      <c r="B134" s="99"/>
      <c r="C134" s="100"/>
      <c r="D134" s="117">
        <v>3431</v>
      </c>
      <c r="E134" s="55" t="s">
        <v>142</v>
      </c>
      <c r="F134" s="102">
        <v>663.61</v>
      </c>
      <c r="G134" s="72"/>
      <c r="H134" s="72">
        <f>331.16+38.22</f>
        <v>369.38</v>
      </c>
      <c r="I134" s="72"/>
    </row>
    <row r="135" spans="2:9" ht="30" customHeight="1" x14ac:dyDescent="0.25">
      <c r="B135" s="99"/>
      <c r="C135" s="100"/>
      <c r="D135" s="117">
        <v>3432</v>
      </c>
      <c r="E135" s="55" t="s">
        <v>213</v>
      </c>
      <c r="F135" s="102">
        <v>199.08</v>
      </c>
      <c r="G135" s="72"/>
      <c r="H135" s="72">
        <v>46.61</v>
      </c>
      <c r="I135" s="72"/>
    </row>
    <row r="136" spans="2:9" ht="30" customHeight="1" x14ac:dyDescent="0.25">
      <c r="B136" s="99"/>
      <c r="C136" s="100"/>
      <c r="D136" s="117">
        <v>3433</v>
      </c>
      <c r="E136" s="55" t="s">
        <v>144</v>
      </c>
      <c r="F136" s="102">
        <v>66.36</v>
      </c>
      <c r="G136" s="72"/>
      <c r="H136" s="72">
        <v>0.71</v>
      </c>
      <c r="I136" s="72"/>
    </row>
    <row r="137" spans="2:9" ht="30" customHeight="1" x14ac:dyDescent="0.25">
      <c r="B137" s="99"/>
      <c r="C137" s="100"/>
      <c r="D137" s="117">
        <v>3434</v>
      </c>
      <c r="E137" s="55" t="s">
        <v>145</v>
      </c>
      <c r="F137" s="102">
        <v>663.61</v>
      </c>
      <c r="G137" s="72"/>
      <c r="H137" s="72">
        <v>0</v>
      </c>
      <c r="I137" s="72"/>
    </row>
    <row r="138" spans="2:9" ht="30" customHeight="1" x14ac:dyDescent="0.25">
      <c r="B138" s="99"/>
      <c r="C138" s="100"/>
      <c r="D138" s="101">
        <v>37</v>
      </c>
      <c r="E138" s="55" t="s">
        <v>200</v>
      </c>
      <c r="F138" s="102">
        <v>1327.23</v>
      </c>
      <c r="G138" s="72"/>
      <c r="H138" s="72">
        <v>0</v>
      </c>
      <c r="I138" s="72"/>
    </row>
    <row r="139" spans="2:9" ht="30" customHeight="1" x14ac:dyDescent="0.25">
      <c r="B139" s="99"/>
      <c r="C139" s="100"/>
      <c r="D139" s="118">
        <v>372</v>
      </c>
      <c r="E139" s="55" t="s">
        <v>202</v>
      </c>
      <c r="F139" s="102">
        <v>1327.23</v>
      </c>
      <c r="G139" s="72"/>
      <c r="H139" s="72">
        <v>0</v>
      </c>
      <c r="I139" s="72"/>
    </row>
    <row r="140" spans="2:9" ht="30" customHeight="1" x14ac:dyDescent="0.25">
      <c r="B140" s="99"/>
      <c r="C140" s="100"/>
      <c r="D140" s="117">
        <v>3721</v>
      </c>
      <c r="E140" s="55" t="s">
        <v>214</v>
      </c>
      <c r="F140" s="102">
        <v>1327.23</v>
      </c>
      <c r="G140" s="72"/>
      <c r="H140" s="72">
        <v>0</v>
      </c>
      <c r="I140" s="72"/>
    </row>
    <row r="141" spans="2:9" ht="30" customHeight="1" x14ac:dyDescent="0.25">
      <c r="B141" s="99"/>
      <c r="C141" s="100">
        <v>4</v>
      </c>
      <c r="D141" s="101"/>
      <c r="E141" s="55" t="s">
        <v>6</v>
      </c>
      <c r="F141" s="102">
        <f>3000+6636.14+6636.14+4313.49+3981.68+3981.68+6636.14+6636.14+13272.28+13272.28</f>
        <v>68365.97</v>
      </c>
      <c r="G141" s="72"/>
      <c r="H141" s="72">
        <f>H142+H147+H158+H161</f>
        <v>49484.36</v>
      </c>
      <c r="I141" s="72"/>
    </row>
    <row r="142" spans="2:9" ht="30" customHeight="1" x14ac:dyDescent="0.25">
      <c r="B142" s="99"/>
      <c r="C142" s="100"/>
      <c r="D142" s="101">
        <v>41</v>
      </c>
      <c r="E142" s="55" t="s">
        <v>161</v>
      </c>
      <c r="F142" s="102">
        <f>3000+6636.14</f>
        <v>9636.14</v>
      </c>
      <c r="G142" s="72"/>
      <c r="H142" s="72">
        <v>2487.89</v>
      </c>
      <c r="I142" s="72"/>
    </row>
    <row r="143" spans="2:9" ht="30" customHeight="1" x14ac:dyDescent="0.25">
      <c r="B143" s="99"/>
      <c r="C143" s="100"/>
      <c r="D143" s="118">
        <v>411</v>
      </c>
      <c r="E143" s="55" t="s">
        <v>162</v>
      </c>
      <c r="F143" s="102">
        <v>3000</v>
      </c>
      <c r="G143" s="72"/>
      <c r="H143" s="72">
        <v>2487.89</v>
      </c>
      <c r="I143" s="72"/>
    </row>
    <row r="144" spans="2:9" ht="30" customHeight="1" x14ac:dyDescent="0.25">
      <c r="B144" s="99"/>
      <c r="C144" s="100"/>
      <c r="D144" s="117">
        <v>4111</v>
      </c>
      <c r="E144" s="55" t="s">
        <v>163</v>
      </c>
      <c r="F144" s="102">
        <v>3000</v>
      </c>
      <c r="G144" s="72"/>
      <c r="H144" s="72">
        <v>2487.89</v>
      </c>
      <c r="I144" s="72"/>
    </row>
    <row r="145" spans="2:9" ht="30" customHeight="1" x14ac:dyDescent="0.25">
      <c r="B145" s="99"/>
      <c r="C145" s="100"/>
      <c r="D145" s="118">
        <v>412</v>
      </c>
      <c r="E145" s="55" t="s">
        <v>164</v>
      </c>
      <c r="F145" s="102">
        <v>6636.14</v>
      </c>
      <c r="G145" s="72"/>
      <c r="H145" s="72">
        <v>0</v>
      </c>
      <c r="I145" s="72"/>
    </row>
    <row r="146" spans="2:9" ht="30" customHeight="1" x14ac:dyDescent="0.25">
      <c r="B146" s="99"/>
      <c r="C146" s="100"/>
      <c r="D146" s="117">
        <v>4123</v>
      </c>
      <c r="E146" s="55" t="s">
        <v>165</v>
      </c>
      <c r="F146" s="102">
        <v>6636.14</v>
      </c>
      <c r="G146" s="72"/>
      <c r="H146" s="72">
        <v>0</v>
      </c>
      <c r="I146" s="72"/>
    </row>
    <row r="147" spans="2:9" ht="30" customHeight="1" x14ac:dyDescent="0.25">
      <c r="B147" s="99"/>
      <c r="C147" s="100"/>
      <c r="D147" s="101">
        <v>42</v>
      </c>
      <c r="E147" s="55" t="s">
        <v>150</v>
      </c>
      <c r="F147" s="102">
        <f>6636.14+4313.49+3981.68+3981.68+6636.14+6636.14</f>
        <v>32185.27</v>
      </c>
      <c r="G147" s="72"/>
      <c r="H147" s="72">
        <f>H148+H154</f>
        <v>34997.67</v>
      </c>
      <c r="I147" s="72"/>
    </row>
    <row r="148" spans="2:9" ht="30" customHeight="1" x14ac:dyDescent="0.25">
      <c r="B148" s="99"/>
      <c r="C148" s="100"/>
      <c r="D148" s="118">
        <v>422</v>
      </c>
      <c r="E148" s="55" t="s">
        <v>151</v>
      </c>
      <c r="F148" s="102">
        <f>6636.14+4313.49+3981.68+3981.68+6636.14</f>
        <v>25549.13</v>
      </c>
      <c r="G148" s="72"/>
      <c r="H148" s="72">
        <v>34878.129999999997</v>
      </c>
      <c r="I148" s="72"/>
    </row>
    <row r="149" spans="2:9" ht="30" customHeight="1" x14ac:dyDescent="0.25">
      <c r="B149" s="99"/>
      <c r="C149" s="100"/>
      <c r="D149" s="117">
        <v>4221</v>
      </c>
      <c r="E149" s="55" t="s">
        <v>152</v>
      </c>
      <c r="F149" s="102">
        <v>6636.14</v>
      </c>
      <c r="G149" s="72"/>
      <c r="H149" s="72">
        <f>14055.56+9999.24</f>
        <v>24054.799999999999</v>
      </c>
      <c r="I149" s="72"/>
    </row>
    <row r="150" spans="2:9" ht="30" customHeight="1" x14ac:dyDescent="0.25">
      <c r="B150" s="99"/>
      <c r="C150" s="100"/>
      <c r="D150" s="117">
        <v>4222</v>
      </c>
      <c r="E150" s="55" t="s">
        <v>166</v>
      </c>
      <c r="F150" s="102">
        <v>4313.49</v>
      </c>
      <c r="G150" s="72"/>
      <c r="H150" s="72">
        <v>3036</v>
      </c>
      <c r="I150" s="72"/>
    </row>
    <row r="151" spans="2:9" ht="30" customHeight="1" x14ac:dyDescent="0.25">
      <c r="B151" s="99"/>
      <c r="C151" s="100"/>
      <c r="D151" s="117">
        <v>4223</v>
      </c>
      <c r="E151" s="55" t="s">
        <v>153</v>
      </c>
      <c r="F151" s="102">
        <v>3981.68</v>
      </c>
      <c r="G151" s="72"/>
      <c r="H151" s="72">
        <v>7084.08</v>
      </c>
      <c r="I151" s="72"/>
    </row>
    <row r="152" spans="2:9" ht="30" customHeight="1" x14ac:dyDescent="0.25">
      <c r="B152" s="99"/>
      <c r="C152" s="100"/>
      <c r="D152" s="117">
        <v>4225</v>
      </c>
      <c r="E152" s="55" t="s">
        <v>154</v>
      </c>
      <c r="F152" s="102">
        <v>3981.68</v>
      </c>
      <c r="G152" s="72"/>
      <c r="H152" s="72">
        <v>0</v>
      </c>
      <c r="I152" s="72"/>
    </row>
    <row r="153" spans="2:9" ht="30" customHeight="1" x14ac:dyDescent="0.25">
      <c r="B153" s="99"/>
      <c r="C153" s="100"/>
      <c r="D153" s="117">
        <v>4227</v>
      </c>
      <c r="E153" s="55" t="s">
        <v>155</v>
      </c>
      <c r="F153" s="102">
        <v>6636.14</v>
      </c>
      <c r="G153" s="72"/>
      <c r="H153" s="72">
        <v>703.25</v>
      </c>
      <c r="I153" s="72"/>
    </row>
    <row r="154" spans="2:9" ht="30" customHeight="1" x14ac:dyDescent="0.25">
      <c r="B154" s="99"/>
      <c r="C154" s="100"/>
      <c r="D154" s="118">
        <v>424</v>
      </c>
      <c r="E154" s="55" t="s">
        <v>167</v>
      </c>
      <c r="F154" s="102">
        <v>0</v>
      </c>
      <c r="G154" s="72"/>
      <c r="H154" s="72">
        <v>119.54</v>
      </c>
      <c r="I154" s="72"/>
    </row>
    <row r="155" spans="2:9" ht="30" customHeight="1" x14ac:dyDescent="0.25">
      <c r="B155" s="99"/>
      <c r="C155" s="100"/>
      <c r="D155" s="117">
        <v>4241</v>
      </c>
      <c r="E155" s="55" t="s">
        <v>168</v>
      </c>
      <c r="F155" s="102">
        <v>0</v>
      </c>
      <c r="G155" s="72"/>
      <c r="H155" s="72">
        <v>119.54</v>
      </c>
      <c r="I155" s="72"/>
    </row>
    <row r="156" spans="2:9" ht="30" customHeight="1" x14ac:dyDescent="0.25">
      <c r="B156" s="99"/>
      <c r="C156" s="100"/>
      <c r="D156" s="118">
        <v>426</v>
      </c>
      <c r="E156" s="55" t="s">
        <v>169</v>
      </c>
      <c r="F156" s="102">
        <v>6636.14</v>
      </c>
      <c r="G156" s="72"/>
      <c r="H156" s="72">
        <v>0</v>
      </c>
      <c r="I156" s="72"/>
    </row>
    <row r="157" spans="2:9" ht="30" customHeight="1" x14ac:dyDescent="0.25">
      <c r="B157" s="99"/>
      <c r="C157" s="100"/>
      <c r="D157" s="117">
        <v>4262</v>
      </c>
      <c r="E157" s="55" t="s">
        <v>170</v>
      </c>
      <c r="F157" s="102">
        <v>6636.14</v>
      </c>
      <c r="G157" s="72"/>
      <c r="H157" s="72">
        <v>0</v>
      </c>
      <c r="I157" s="72"/>
    </row>
    <row r="158" spans="2:9" ht="30" customHeight="1" x14ac:dyDescent="0.25">
      <c r="B158" s="99"/>
      <c r="C158" s="100"/>
      <c r="D158" s="101">
        <v>43</v>
      </c>
      <c r="E158" s="55" t="s">
        <v>156</v>
      </c>
      <c r="F158" s="102">
        <v>0</v>
      </c>
      <c r="G158" s="72"/>
      <c r="H158" s="72">
        <v>358.37</v>
      </c>
      <c r="I158" s="72"/>
    </row>
    <row r="159" spans="2:9" ht="30" customHeight="1" x14ac:dyDescent="0.25">
      <c r="B159" s="99"/>
      <c r="C159" s="100"/>
      <c r="D159" s="118">
        <v>431</v>
      </c>
      <c r="E159" s="55" t="s">
        <v>157</v>
      </c>
      <c r="F159" s="102">
        <v>0</v>
      </c>
      <c r="G159" s="72"/>
      <c r="H159" s="72">
        <v>358.37</v>
      </c>
      <c r="I159" s="72"/>
    </row>
    <row r="160" spans="2:9" ht="30" customHeight="1" x14ac:dyDescent="0.25">
      <c r="B160" s="99"/>
      <c r="C160" s="100"/>
      <c r="D160" s="117">
        <v>4312</v>
      </c>
      <c r="E160" s="55" t="s">
        <v>203</v>
      </c>
      <c r="F160" s="102">
        <v>0</v>
      </c>
      <c r="G160" s="72"/>
      <c r="H160" s="72">
        <v>358.37</v>
      </c>
      <c r="I160" s="72"/>
    </row>
    <row r="161" spans="2:9" ht="30" customHeight="1" x14ac:dyDescent="0.25">
      <c r="B161" s="99"/>
      <c r="C161" s="100"/>
      <c r="D161" s="101">
        <v>45</v>
      </c>
      <c r="E161" s="55" t="s">
        <v>199</v>
      </c>
      <c r="F161" s="102">
        <f>13272.28+13272.28</f>
        <v>26544.560000000001</v>
      </c>
      <c r="G161" s="72"/>
      <c r="H161" s="72">
        <f>9521.84+2118.59</f>
        <v>11640.43</v>
      </c>
      <c r="I161" s="72"/>
    </row>
    <row r="162" spans="2:9" ht="30" customHeight="1" x14ac:dyDescent="0.25">
      <c r="B162" s="99"/>
      <c r="C162" s="100"/>
      <c r="D162" s="118">
        <v>451</v>
      </c>
      <c r="E162" s="55" t="s">
        <v>172</v>
      </c>
      <c r="F162" s="102">
        <v>13272.28</v>
      </c>
      <c r="G162" s="72"/>
      <c r="H162" s="72">
        <f>9521.84+2118.59</f>
        <v>11640.43</v>
      </c>
      <c r="I162" s="72"/>
    </row>
    <row r="163" spans="2:9" ht="30" customHeight="1" x14ac:dyDescent="0.25">
      <c r="B163" s="99"/>
      <c r="C163" s="100"/>
      <c r="D163" s="117">
        <v>4511</v>
      </c>
      <c r="E163" s="55" t="s">
        <v>172</v>
      </c>
      <c r="F163" s="102">
        <v>13272.28</v>
      </c>
      <c r="G163" s="72"/>
      <c r="H163" s="72">
        <f>9521.84+2118.59</f>
        <v>11640.43</v>
      </c>
      <c r="I163" s="72"/>
    </row>
    <row r="164" spans="2:9" ht="30" customHeight="1" x14ac:dyDescent="0.25">
      <c r="B164" s="99"/>
      <c r="C164" s="100"/>
      <c r="D164" s="118">
        <v>452</v>
      </c>
      <c r="E164" s="55" t="s">
        <v>173</v>
      </c>
      <c r="F164" s="102">
        <v>13272.28</v>
      </c>
      <c r="G164" s="72"/>
      <c r="H164" s="72">
        <v>0</v>
      </c>
      <c r="I164" s="72"/>
    </row>
    <row r="165" spans="2:9" ht="30" customHeight="1" x14ac:dyDescent="0.25">
      <c r="B165" s="99"/>
      <c r="C165" s="100"/>
      <c r="D165" s="117">
        <v>4521</v>
      </c>
      <c r="E165" s="55" t="s">
        <v>173</v>
      </c>
      <c r="F165" s="102">
        <v>13272.28</v>
      </c>
      <c r="G165" s="72"/>
      <c r="H165" s="72">
        <v>0</v>
      </c>
      <c r="I165" s="72"/>
    </row>
    <row r="166" spans="2:9" s="82" customFormat="1" ht="30" customHeight="1" x14ac:dyDescent="0.25">
      <c r="B166" s="105">
        <v>43</v>
      </c>
      <c r="C166" s="110"/>
      <c r="D166" s="111"/>
      <c r="E166" s="108" t="s">
        <v>186</v>
      </c>
      <c r="F166" s="109">
        <v>33180.699999999997</v>
      </c>
      <c r="G166" s="80"/>
      <c r="H166" s="80">
        <f>H167</f>
        <v>17700.91</v>
      </c>
      <c r="I166" s="80"/>
    </row>
    <row r="167" spans="2:9" s="82" customFormat="1" ht="30" customHeight="1" x14ac:dyDescent="0.25">
      <c r="B167" s="105" t="s">
        <v>195</v>
      </c>
      <c r="C167" s="113"/>
      <c r="D167" s="114"/>
      <c r="E167" s="115" t="s">
        <v>194</v>
      </c>
      <c r="F167" s="116">
        <v>33180.699999999997</v>
      </c>
      <c r="G167" s="80"/>
      <c r="H167" s="80">
        <f>H168+H185</f>
        <v>17700.91</v>
      </c>
      <c r="I167" s="80"/>
    </row>
    <row r="168" spans="2:9" s="82" customFormat="1" ht="30" customHeight="1" x14ac:dyDescent="0.25">
      <c r="B168" s="105"/>
      <c r="C168" s="113">
        <v>3</v>
      </c>
      <c r="D168" s="114"/>
      <c r="E168" s="115" t="s">
        <v>4</v>
      </c>
      <c r="F168" s="116">
        <f>+F167</f>
        <v>33180.699999999997</v>
      </c>
      <c r="G168" s="80"/>
      <c r="H168" s="80">
        <f>H169+H172</f>
        <v>9758.93</v>
      </c>
      <c r="I168" s="80"/>
    </row>
    <row r="169" spans="2:9" ht="30" customHeight="1" x14ac:dyDescent="0.25">
      <c r="B169" s="99"/>
      <c r="C169" s="100"/>
      <c r="D169" s="101">
        <v>31</v>
      </c>
      <c r="E169" s="55" t="s">
        <v>5</v>
      </c>
      <c r="F169" s="102">
        <v>11945.05</v>
      </c>
      <c r="G169" s="72"/>
      <c r="H169" s="72">
        <v>2223.89</v>
      </c>
      <c r="I169" s="72"/>
    </row>
    <row r="170" spans="2:9" ht="30" customHeight="1" x14ac:dyDescent="0.25">
      <c r="B170" s="99"/>
      <c r="C170" s="100"/>
      <c r="D170" s="118">
        <v>312</v>
      </c>
      <c r="E170" s="55" t="s">
        <v>111</v>
      </c>
      <c r="F170" s="102">
        <v>11945.05</v>
      </c>
      <c r="G170" s="72"/>
      <c r="H170" s="72">
        <v>2223.89</v>
      </c>
      <c r="I170" s="72"/>
    </row>
    <row r="171" spans="2:9" ht="30" customHeight="1" x14ac:dyDescent="0.25">
      <c r="B171" s="99"/>
      <c r="C171" s="100"/>
      <c r="D171" s="117">
        <v>3121</v>
      </c>
      <c r="E171" s="55" t="s">
        <v>111</v>
      </c>
      <c r="F171" s="102">
        <v>11945.05</v>
      </c>
      <c r="G171" s="72"/>
      <c r="H171" s="72">
        <v>2223.89</v>
      </c>
      <c r="I171" s="72"/>
    </row>
    <row r="172" spans="2:9" ht="30" customHeight="1" x14ac:dyDescent="0.25">
      <c r="B172" s="99"/>
      <c r="C172" s="100"/>
      <c r="D172" s="101">
        <v>32</v>
      </c>
      <c r="E172" s="55" t="s">
        <v>12</v>
      </c>
      <c r="F172" s="102">
        <f>+F168-F169</f>
        <v>21235.649999999998</v>
      </c>
      <c r="G172" s="72"/>
      <c r="H172" s="72">
        <v>7535.04</v>
      </c>
      <c r="I172" s="72"/>
    </row>
    <row r="173" spans="2:9" ht="30" customHeight="1" x14ac:dyDescent="0.25">
      <c r="B173" s="99"/>
      <c r="C173" s="100"/>
      <c r="D173" s="118">
        <v>321</v>
      </c>
      <c r="E173" s="55" t="s">
        <v>41</v>
      </c>
      <c r="F173" s="102">
        <v>2654.46</v>
      </c>
      <c r="G173" s="72"/>
      <c r="H173" s="72">
        <v>1163.82</v>
      </c>
      <c r="I173" s="72"/>
    </row>
    <row r="174" spans="2:9" ht="30" customHeight="1" x14ac:dyDescent="0.25">
      <c r="B174" s="99"/>
      <c r="C174" s="100"/>
      <c r="D174" s="117">
        <v>3211</v>
      </c>
      <c r="E174" s="55" t="s">
        <v>42</v>
      </c>
      <c r="F174" s="102">
        <v>2654.46</v>
      </c>
      <c r="G174" s="72"/>
      <c r="H174" s="72">
        <v>1163.82</v>
      </c>
      <c r="I174" s="72"/>
    </row>
    <row r="175" spans="2:9" ht="30" customHeight="1" x14ac:dyDescent="0.25">
      <c r="B175" s="99"/>
      <c r="C175" s="100"/>
      <c r="D175" s="118">
        <v>322</v>
      </c>
      <c r="E175" s="55" t="s">
        <v>118</v>
      </c>
      <c r="F175" s="102">
        <f>4910.74+663.61</f>
        <v>5574.3499999999995</v>
      </c>
      <c r="G175" s="72"/>
      <c r="H175" s="72">
        <v>2668.93</v>
      </c>
      <c r="I175" s="72"/>
    </row>
    <row r="176" spans="2:9" ht="30" customHeight="1" x14ac:dyDescent="0.25">
      <c r="B176" s="99"/>
      <c r="C176" s="100"/>
      <c r="D176" s="117">
        <v>3221</v>
      </c>
      <c r="E176" s="55" t="s">
        <v>206</v>
      </c>
      <c r="F176" s="102">
        <v>4910.74</v>
      </c>
      <c r="G176" s="72"/>
      <c r="H176" s="72">
        <f>596.01+50.72</f>
        <v>646.73</v>
      </c>
      <c r="I176" s="72"/>
    </row>
    <row r="177" spans="2:9" ht="30" customHeight="1" x14ac:dyDescent="0.25">
      <c r="B177" s="99"/>
      <c r="C177" s="100"/>
      <c r="D177" s="117">
        <v>3223</v>
      </c>
      <c r="E177" s="55" t="s">
        <v>120</v>
      </c>
      <c r="F177" s="102">
        <v>663.61</v>
      </c>
      <c r="G177" s="72"/>
      <c r="H177" s="72">
        <v>0</v>
      </c>
      <c r="I177" s="72"/>
    </row>
    <row r="178" spans="2:9" ht="30" customHeight="1" x14ac:dyDescent="0.25">
      <c r="B178" s="99"/>
      <c r="C178" s="100"/>
      <c r="D178" s="117">
        <v>3225</v>
      </c>
      <c r="E178" s="55" t="s">
        <v>207</v>
      </c>
      <c r="F178" s="102">
        <v>0</v>
      </c>
      <c r="G178" s="72"/>
      <c r="H178" s="72">
        <f>1610.2+412</f>
        <v>2022.2</v>
      </c>
      <c r="I178" s="72"/>
    </row>
    <row r="179" spans="2:9" ht="30" customHeight="1" x14ac:dyDescent="0.25">
      <c r="B179" s="99"/>
      <c r="C179" s="100"/>
      <c r="D179" s="118">
        <v>323</v>
      </c>
      <c r="E179" s="55" t="s">
        <v>123</v>
      </c>
      <c r="F179" s="102">
        <f>398.17+1327.23+9290.6</f>
        <v>11016</v>
      </c>
      <c r="G179" s="72"/>
      <c r="H179" s="72">
        <v>3117.39</v>
      </c>
      <c r="I179" s="72"/>
    </row>
    <row r="180" spans="2:9" ht="30" customHeight="1" x14ac:dyDescent="0.25">
      <c r="B180" s="99"/>
      <c r="C180" s="100"/>
      <c r="D180" s="117">
        <v>3231</v>
      </c>
      <c r="E180" s="55" t="s">
        <v>124</v>
      </c>
      <c r="F180" s="102">
        <v>398.17</v>
      </c>
      <c r="G180" s="72"/>
      <c r="H180" s="72">
        <v>0</v>
      </c>
      <c r="I180" s="72"/>
    </row>
    <row r="181" spans="2:9" ht="30" customHeight="1" x14ac:dyDescent="0.25">
      <c r="B181" s="99"/>
      <c r="C181" s="100"/>
      <c r="D181" s="117">
        <v>3232</v>
      </c>
      <c r="E181" s="55" t="s">
        <v>125</v>
      </c>
      <c r="F181" s="102">
        <v>1327.23</v>
      </c>
      <c r="G181" s="72"/>
      <c r="H181" s="72">
        <v>1221.43</v>
      </c>
      <c r="I181" s="72"/>
    </row>
    <row r="182" spans="2:9" ht="30" customHeight="1" x14ac:dyDescent="0.25">
      <c r="B182" s="99"/>
      <c r="C182" s="100"/>
      <c r="D182" s="117">
        <v>3237</v>
      </c>
      <c r="E182" s="55" t="s">
        <v>130</v>
      </c>
      <c r="F182" s="102">
        <v>9290.6</v>
      </c>
      <c r="G182" s="72"/>
      <c r="H182" s="72">
        <f>3117.39-1221.43</f>
        <v>1895.9599999999998</v>
      </c>
      <c r="I182" s="72"/>
    </row>
    <row r="183" spans="2:9" ht="30" customHeight="1" x14ac:dyDescent="0.25">
      <c r="B183" s="99"/>
      <c r="C183" s="100"/>
      <c r="D183" s="118">
        <v>324</v>
      </c>
      <c r="E183" s="55" t="s">
        <v>133</v>
      </c>
      <c r="F183" s="102">
        <v>1990.84</v>
      </c>
      <c r="G183" s="72"/>
      <c r="H183" s="72">
        <v>584.9</v>
      </c>
      <c r="I183" s="72"/>
    </row>
    <row r="184" spans="2:9" ht="30" customHeight="1" x14ac:dyDescent="0.25">
      <c r="B184" s="99"/>
      <c r="C184" s="100"/>
      <c r="D184" s="117">
        <v>3241</v>
      </c>
      <c r="E184" s="55" t="s">
        <v>133</v>
      </c>
      <c r="F184" s="102">
        <v>1990.84</v>
      </c>
      <c r="G184" s="72"/>
      <c r="H184" s="72">
        <v>584.9</v>
      </c>
      <c r="I184" s="72"/>
    </row>
    <row r="185" spans="2:9" s="82" customFormat="1" ht="30" customHeight="1" x14ac:dyDescent="0.25">
      <c r="B185" s="105"/>
      <c r="C185" s="113">
        <v>4</v>
      </c>
      <c r="D185" s="114"/>
      <c r="E185" s="115" t="s">
        <v>6</v>
      </c>
      <c r="F185" s="116">
        <v>0</v>
      </c>
      <c r="G185" s="80"/>
      <c r="H185" s="80">
        <f>+H186</f>
        <v>7941.98</v>
      </c>
      <c r="I185" s="80"/>
    </row>
    <row r="186" spans="2:9" ht="30" customHeight="1" x14ac:dyDescent="0.25">
      <c r="B186" s="99"/>
      <c r="C186" s="100"/>
      <c r="D186" s="101">
        <v>42</v>
      </c>
      <c r="E186" s="55" t="s">
        <v>150</v>
      </c>
      <c r="F186" s="102">
        <v>0</v>
      </c>
      <c r="G186" s="72"/>
      <c r="H186" s="72">
        <v>7941.98</v>
      </c>
      <c r="I186" s="72"/>
    </row>
    <row r="187" spans="2:9" ht="30" customHeight="1" x14ac:dyDescent="0.25">
      <c r="B187" s="99"/>
      <c r="C187" s="100"/>
      <c r="D187" s="118">
        <v>422</v>
      </c>
      <c r="E187" s="55" t="s">
        <v>151</v>
      </c>
      <c r="F187" s="102">
        <v>0</v>
      </c>
      <c r="G187" s="72"/>
      <c r="H187" s="72">
        <v>7941.98</v>
      </c>
      <c r="I187" s="72"/>
    </row>
    <row r="188" spans="2:9" ht="30" customHeight="1" x14ac:dyDescent="0.25">
      <c r="B188" s="99"/>
      <c r="C188" s="100"/>
      <c r="D188" s="117">
        <v>4221</v>
      </c>
      <c r="E188" s="55" t="s">
        <v>152</v>
      </c>
      <c r="F188" s="102">
        <v>0</v>
      </c>
      <c r="G188" s="72"/>
      <c r="H188" s="72">
        <v>7941.98</v>
      </c>
      <c r="I188" s="72"/>
    </row>
    <row r="189" spans="2:9" ht="30" customHeight="1" x14ac:dyDescent="0.25">
      <c r="B189" s="112">
        <v>52</v>
      </c>
      <c r="C189" s="110"/>
      <c r="D189" s="111"/>
      <c r="E189" s="108" t="s">
        <v>187</v>
      </c>
      <c r="F189" s="109">
        <v>217078.9</v>
      </c>
      <c r="G189" s="72"/>
      <c r="H189" s="80">
        <f>H190+H206</f>
        <v>162757.04</v>
      </c>
      <c r="I189" s="72"/>
    </row>
    <row r="190" spans="2:9" s="82" customFormat="1" ht="30" customHeight="1" x14ac:dyDescent="0.25">
      <c r="B190" s="105" t="s">
        <v>192</v>
      </c>
      <c r="C190" s="113"/>
      <c r="D190" s="114"/>
      <c r="E190" s="115" t="s">
        <v>191</v>
      </c>
      <c r="F190" s="116">
        <v>205159.73</v>
      </c>
      <c r="G190" s="80"/>
      <c r="H190" s="80">
        <f>H191+H202</f>
        <v>149304.19</v>
      </c>
      <c r="I190" s="80"/>
    </row>
    <row r="191" spans="2:9" ht="30" customHeight="1" x14ac:dyDescent="0.25">
      <c r="B191" s="99"/>
      <c r="C191" s="100">
        <v>3</v>
      </c>
      <c r="D191" s="101"/>
      <c r="E191" s="55" t="s">
        <v>4</v>
      </c>
      <c r="F191" s="102">
        <f>+F190-F202</f>
        <v>125526.04000000001</v>
      </c>
      <c r="G191" s="72"/>
      <c r="H191" s="72">
        <f>H192</f>
        <v>69670.5</v>
      </c>
      <c r="I191" s="72"/>
    </row>
    <row r="192" spans="2:9" ht="30" customHeight="1" x14ac:dyDescent="0.25">
      <c r="B192" s="99"/>
      <c r="C192" s="100"/>
      <c r="D192" s="101">
        <v>32</v>
      </c>
      <c r="E192" s="55" t="s">
        <v>12</v>
      </c>
      <c r="F192" s="102">
        <f>+F191</f>
        <v>125526.04000000001</v>
      </c>
      <c r="G192" s="72"/>
      <c r="H192" s="72">
        <f>70226.6-556.1</f>
        <v>69670.5</v>
      </c>
      <c r="I192" s="72"/>
    </row>
    <row r="193" spans="2:9" ht="30" customHeight="1" x14ac:dyDescent="0.25">
      <c r="B193" s="99"/>
      <c r="C193" s="100"/>
      <c r="D193" s="118">
        <v>321</v>
      </c>
      <c r="E193" s="55" t="s">
        <v>41</v>
      </c>
      <c r="F193" s="102">
        <v>6547.48</v>
      </c>
      <c r="G193" s="72"/>
      <c r="H193" s="72">
        <f>(5805.94-556.1)</f>
        <v>5249.8399999999992</v>
      </c>
      <c r="I193" s="72"/>
    </row>
    <row r="194" spans="2:9" ht="30" customHeight="1" x14ac:dyDescent="0.25">
      <c r="B194" s="99"/>
      <c r="C194" s="100"/>
      <c r="D194" s="117">
        <v>3211</v>
      </c>
      <c r="E194" s="55" t="s">
        <v>42</v>
      </c>
      <c r="F194" s="102">
        <v>6547.48</v>
      </c>
      <c r="G194" s="72"/>
      <c r="H194" s="72">
        <f>185.85+1335+1887.57+1437+304.42</f>
        <v>5149.84</v>
      </c>
      <c r="I194" s="72"/>
    </row>
    <row r="195" spans="2:9" ht="30" customHeight="1" x14ac:dyDescent="0.25">
      <c r="B195" s="99"/>
      <c r="C195" s="100"/>
      <c r="D195" s="117">
        <v>3213</v>
      </c>
      <c r="E195" s="55" t="s">
        <v>205</v>
      </c>
      <c r="F195" s="102">
        <v>0</v>
      </c>
      <c r="G195" s="72"/>
      <c r="H195" s="72">
        <v>100</v>
      </c>
      <c r="I195" s="72"/>
    </row>
    <row r="196" spans="2:9" ht="30" customHeight="1" x14ac:dyDescent="0.25">
      <c r="B196" s="99"/>
      <c r="C196" s="100"/>
      <c r="D196" s="118">
        <v>323</v>
      </c>
      <c r="E196" s="55" t="s">
        <v>123</v>
      </c>
      <c r="F196" s="102">
        <f>530.89+62379.72+53885.46</f>
        <v>116796.07</v>
      </c>
      <c r="G196" s="72"/>
      <c r="H196" s="72">
        <v>64420.66</v>
      </c>
      <c r="I196" s="72"/>
    </row>
    <row r="197" spans="2:9" ht="30" customHeight="1" x14ac:dyDescent="0.25">
      <c r="B197" s="99"/>
      <c r="C197" s="100"/>
      <c r="D197" s="117">
        <v>3233</v>
      </c>
      <c r="E197" s="55" t="s">
        <v>126</v>
      </c>
      <c r="F197" s="102">
        <v>530.89</v>
      </c>
      <c r="G197" s="72"/>
      <c r="H197" s="72">
        <v>472.83</v>
      </c>
      <c r="I197" s="72"/>
    </row>
    <row r="198" spans="2:9" ht="30" customHeight="1" x14ac:dyDescent="0.25">
      <c r="B198" s="99"/>
      <c r="C198" s="100"/>
      <c r="D198" s="117">
        <v>3237</v>
      </c>
      <c r="E198" s="55" t="s">
        <v>130</v>
      </c>
      <c r="F198" s="102">
        <v>62379.72</v>
      </c>
      <c r="G198" s="72"/>
      <c r="H198" s="72">
        <v>12853.66</v>
      </c>
      <c r="I198" s="72"/>
    </row>
    <row r="199" spans="2:9" ht="30" customHeight="1" x14ac:dyDescent="0.25">
      <c r="B199" s="99"/>
      <c r="C199" s="100"/>
      <c r="D199" s="117">
        <v>3239</v>
      </c>
      <c r="E199" s="55" t="s">
        <v>132</v>
      </c>
      <c r="F199" s="102">
        <v>53885.46</v>
      </c>
      <c r="G199" s="72"/>
      <c r="H199" s="72">
        <v>51094.17</v>
      </c>
      <c r="I199" s="72"/>
    </row>
    <row r="200" spans="2:9" ht="30" customHeight="1" x14ac:dyDescent="0.25">
      <c r="B200" s="99"/>
      <c r="C200" s="100"/>
      <c r="D200" s="118">
        <v>329</v>
      </c>
      <c r="E200" s="55" t="s">
        <v>135</v>
      </c>
      <c r="F200" s="102">
        <v>2182.4899999999998</v>
      </c>
      <c r="G200" s="72"/>
      <c r="H200" s="72">
        <v>0</v>
      </c>
      <c r="I200" s="72"/>
    </row>
    <row r="201" spans="2:9" ht="30" customHeight="1" x14ac:dyDescent="0.25">
      <c r="B201" s="99"/>
      <c r="C201" s="100"/>
      <c r="D201" s="117">
        <v>3293</v>
      </c>
      <c r="E201" s="55" t="s">
        <v>137</v>
      </c>
      <c r="F201" s="102">
        <v>2182.4899999999998</v>
      </c>
      <c r="G201" s="72"/>
      <c r="H201" s="72">
        <v>0</v>
      </c>
      <c r="I201" s="72"/>
    </row>
    <row r="202" spans="2:9" ht="30" customHeight="1" x14ac:dyDescent="0.25">
      <c r="B202" s="99"/>
      <c r="C202" s="100">
        <v>4</v>
      </c>
      <c r="D202" s="101"/>
      <c r="E202" s="55" t="s">
        <v>6</v>
      </c>
      <c r="F202" s="102">
        <v>79633.69</v>
      </c>
      <c r="G202" s="72"/>
      <c r="H202" s="72">
        <f>H203</f>
        <v>79633.69</v>
      </c>
      <c r="I202" s="72"/>
    </row>
    <row r="203" spans="2:9" ht="30" customHeight="1" x14ac:dyDescent="0.25">
      <c r="B203" s="99"/>
      <c r="C203" s="100"/>
      <c r="D203" s="101">
        <v>42</v>
      </c>
      <c r="E203" s="55" t="s">
        <v>150</v>
      </c>
      <c r="F203" s="102">
        <f>+F202</f>
        <v>79633.69</v>
      </c>
      <c r="G203" s="72"/>
      <c r="H203" s="72">
        <v>79633.69</v>
      </c>
      <c r="I203" s="72"/>
    </row>
    <row r="204" spans="2:9" ht="30" customHeight="1" x14ac:dyDescent="0.25">
      <c r="B204" s="99"/>
      <c r="C204" s="100"/>
      <c r="D204" s="118">
        <v>422</v>
      </c>
      <c r="E204" s="55" t="s">
        <v>151</v>
      </c>
      <c r="F204" s="102">
        <v>79633.69</v>
      </c>
      <c r="G204" s="72"/>
      <c r="H204" s="72">
        <v>79633.69</v>
      </c>
      <c r="I204" s="72"/>
    </row>
    <row r="205" spans="2:9" ht="30" customHeight="1" x14ac:dyDescent="0.25">
      <c r="B205" s="99"/>
      <c r="C205" s="100"/>
      <c r="D205" s="117">
        <v>4221</v>
      </c>
      <c r="E205" s="55" t="s">
        <v>152</v>
      </c>
      <c r="F205" s="102">
        <v>79633.69</v>
      </c>
      <c r="G205" s="72"/>
      <c r="H205" s="72">
        <v>79633.69</v>
      </c>
      <c r="I205" s="72"/>
    </row>
    <row r="206" spans="2:9" s="82" customFormat="1" ht="30" customHeight="1" x14ac:dyDescent="0.25">
      <c r="B206" s="105" t="s">
        <v>195</v>
      </c>
      <c r="C206" s="113"/>
      <c r="D206" s="114"/>
      <c r="E206" s="115" t="s">
        <v>198</v>
      </c>
      <c r="F206" s="116">
        <v>11919.17</v>
      </c>
      <c r="G206" s="80"/>
      <c r="H206" s="80">
        <f>H207</f>
        <v>13452.85</v>
      </c>
      <c r="I206" s="80"/>
    </row>
    <row r="207" spans="2:9" s="82" customFormat="1" ht="30" customHeight="1" x14ac:dyDescent="0.25">
      <c r="B207" s="105"/>
      <c r="C207" s="113">
        <v>3</v>
      </c>
      <c r="D207" s="114"/>
      <c r="E207" s="115" t="s">
        <v>4</v>
      </c>
      <c r="F207" s="116">
        <f>+F206</f>
        <v>11919.17</v>
      </c>
      <c r="G207" s="80"/>
      <c r="H207" s="80">
        <f>H208+H211</f>
        <v>13452.85</v>
      </c>
      <c r="I207" s="80"/>
    </row>
    <row r="208" spans="2:9" ht="30" customHeight="1" x14ac:dyDescent="0.25">
      <c r="B208" s="99"/>
      <c r="C208" s="100"/>
      <c r="D208" s="101">
        <v>31</v>
      </c>
      <c r="E208" s="55" t="s">
        <v>5</v>
      </c>
      <c r="F208" s="102">
        <v>11345.81</v>
      </c>
      <c r="G208" s="72"/>
      <c r="H208" s="72">
        <v>12896.75</v>
      </c>
      <c r="I208" s="72"/>
    </row>
    <row r="209" spans="2:9" ht="30" customHeight="1" x14ac:dyDescent="0.25">
      <c r="B209" s="99"/>
      <c r="C209" s="100"/>
      <c r="D209" s="118">
        <v>311</v>
      </c>
      <c r="E209" s="55" t="s">
        <v>201</v>
      </c>
      <c r="F209" s="102">
        <v>11345.81</v>
      </c>
      <c r="G209" s="72"/>
      <c r="H209" s="72">
        <v>12896.75</v>
      </c>
      <c r="I209" s="72"/>
    </row>
    <row r="210" spans="2:9" ht="30" customHeight="1" x14ac:dyDescent="0.25">
      <c r="B210" s="99"/>
      <c r="C210" s="100"/>
      <c r="D210" s="117">
        <v>3111</v>
      </c>
      <c r="E210" s="55" t="s">
        <v>40</v>
      </c>
      <c r="F210" s="102">
        <v>11345.81</v>
      </c>
      <c r="G210" s="72"/>
      <c r="H210" s="72">
        <f>8999.12+654.22+2413.3+830.11</f>
        <v>12896.75</v>
      </c>
      <c r="I210" s="72"/>
    </row>
    <row r="211" spans="2:9" ht="30" customHeight="1" x14ac:dyDescent="0.25">
      <c r="B211" s="99"/>
      <c r="C211" s="100"/>
      <c r="D211" s="101">
        <v>32</v>
      </c>
      <c r="E211" s="55" t="s">
        <v>12</v>
      </c>
      <c r="F211" s="102">
        <v>573.36</v>
      </c>
      <c r="G211" s="72"/>
      <c r="H211" s="72">
        <v>556.1</v>
      </c>
      <c r="I211" s="72"/>
    </row>
    <row r="212" spans="2:9" ht="30" customHeight="1" x14ac:dyDescent="0.25">
      <c r="B212" s="99"/>
      <c r="C212" s="100"/>
      <c r="D212" s="118">
        <v>321</v>
      </c>
      <c r="E212" s="55" t="s">
        <v>41</v>
      </c>
      <c r="F212" s="102">
        <v>573.36</v>
      </c>
      <c r="G212" s="72"/>
      <c r="H212" s="72">
        <v>556.1</v>
      </c>
      <c r="I212" s="72"/>
    </row>
    <row r="213" spans="2:9" ht="30" customHeight="1" x14ac:dyDescent="0.25">
      <c r="B213" s="99"/>
      <c r="C213" s="100"/>
      <c r="D213" s="117">
        <v>3212</v>
      </c>
      <c r="E213" s="55" t="s">
        <v>204</v>
      </c>
      <c r="F213" s="102">
        <v>573.36</v>
      </c>
      <c r="G213" s="72"/>
      <c r="H213" s="72">
        <v>556.1</v>
      </c>
      <c r="I213" s="72"/>
    </row>
    <row r="214" spans="2:9" ht="30" customHeight="1" x14ac:dyDescent="0.25">
      <c r="B214" s="112">
        <v>57</v>
      </c>
      <c r="C214" s="110"/>
      <c r="D214" s="111"/>
      <c r="E214" s="108" t="s">
        <v>188</v>
      </c>
      <c r="F214" s="109">
        <v>3620611.85</v>
      </c>
      <c r="G214" s="72"/>
      <c r="H214" s="80">
        <f>H215</f>
        <v>7352034.9000000004</v>
      </c>
      <c r="I214" s="72"/>
    </row>
    <row r="215" spans="2:9" s="82" customFormat="1" ht="30" customHeight="1" x14ac:dyDescent="0.25">
      <c r="B215" s="105" t="s">
        <v>197</v>
      </c>
      <c r="C215" s="113"/>
      <c r="D215" s="114"/>
      <c r="E215" s="115" t="s">
        <v>196</v>
      </c>
      <c r="F215" s="116">
        <v>3620611.85</v>
      </c>
      <c r="G215" s="80"/>
      <c r="H215" s="80">
        <f>H216</f>
        <v>7352034.9000000004</v>
      </c>
      <c r="I215" s="80"/>
    </row>
    <row r="216" spans="2:9" ht="30" customHeight="1" x14ac:dyDescent="0.25">
      <c r="B216" s="99"/>
      <c r="C216" s="100">
        <v>4</v>
      </c>
      <c r="D216" s="101"/>
      <c r="E216" s="55" t="s">
        <v>6</v>
      </c>
      <c r="F216" s="102">
        <v>3620611.85</v>
      </c>
      <c r="G216" s="72"/>
      <c r="H216" s="72">
        <f>H217+H220</f>
        <v>7352034.9000000004</v>
      </c>
      <c r="I216" s="72"/>
    </row>
    <row r="217" spans="2:9" ht="30" customHeight="1" x14ac:dyDescent="0.25">
      <c r="B217" s="99"/>
      <c r="C217" s="100"/>
      <c r="D217" s="101">
        <v>42</v>
      </c>
      <c r="E217" s="55" t="s">
        <v>150</v>
      </c>
      <c r="F217" s="102">
        <v>0</v>
      </c>
      <c r="G217" s="72"/>
      <c r="H217" s="72">
        <v>157729.43</v>
      </c>
      <c r="I217" s="72"/>
    </row>
    <row r="218" spans="2:9" ht="30" customHeight="1" x14ac:dyDescent="0.25">
      <c r="B218" s="99"/>
      <c r="C218" s="100"/>
      <c r="D218" s="118">
        <v>422</v>
      </c>
      <c r="E218" s="55" t="s">
        <v>151</v>
      </c>
      <c r="F218" s="102">
        <v>0</v>
      </c>
      <c r="G218" s="72"/>
      <c r="H218" s="72">
        <v>157729.43</v>
      </c>
      <c r="I218" s="72"/>
    </row>
    <row r="219" spans="2:9" ht="30" customHeight="1" x14ac:dyDescent="0.25">
      <c r="B219" s="99"/>
      <c r="C219" s="100"/>
      <c r="D219" s="117">
        <v>4221</v>
      </c>
      <c r="E219" s="55" t="s">
        <v>152</v>
      </c>
      <c r="F219" s="102">
        <v>0</v>
      </c>
      <c r="G219" s="72"/>
      <c r="H219" s="72">
        <v>157729.43</v>
      </c>
      <c r="I219" s="72"/>
    </row>
    <row r="220" spans="2:9" ht="30" customHeight="1" x14ac:dyDescent="0.25">
      <c r="B220" s="99"/>
      <c r="C220" s="100"/>
      <c r="D220" s="101">
        <v>45</v>
      </c>
      <c r="E220" s="55" t="s">
        <v>199</v>
      </c>
      <c r="F220" s="102">
        <f>+F216</f>
        <v>3620611.85</v>
      </c>
      <c r="G220" s="72"/>
      <c r="H220" s="72">
        <f>5755694.37+1438611.1</f>
        <v>7194305.4700000007</v>
      </c>
      <c r="I220" s="72"/>
    </row>
    <row r="221" spans="2:9" ht="30" customHeight="1" x14ac:dyDescent="0.25">
      <c r="B221" s="99"/>
      <c r="C221" s="100"/>
      <c r="D221" s="118">
        <v>451</v>
      </c>
      <c r="E221" s="55" t="s">
        <v>172</v>
      </c>
      <c r="F221" s="102">
        <v>3620611.85</v>
      </c>
      <c r="G221" s="72"/>
      <c r="H221" s="72">
        <v>7194305.4699999997</v>
      </c>
      <c r="I221" s="72"/>
    </row>
    <row r="222" spans="2:9" ht="30" customHeight="1" x14ac:dyDescent="0.25">
      <c r="B222" s="99"/>
      <c r="C222" s="100"/>
      <c r="D222" s="117">
        <v>4511</v>
      </c>
      <c r="E222" s="55" t="s">
        <v>172</v>
      </c>
      <c r="F222" s="102">
        <v>3620611.85</v>
      </c>
      <c r="G222" s="72"/>
      <c r="H222" s="72">
        <f>1438611.1+5755694.37</f>
        <v>7194305.4700000007</v>
      </c>
      <c r="I222" s="72"/>
    </row>
    <row r="223" spans="2:9" ht="30" customHeight="1" x14ac:dyDescent="0.25">
      <c r="B223" s="112">
        <v>61</v>
      </c>
      <c r="C223" s="110"/>
      <c r="D223" s="111"/>
      <c r="E223" s="108" t="s">
        <v>189</v>
      </c>
      <c r="F223" s="109">
        <v>19204</v>
      </c>
      <c r="G223" s="72"/>
      <c r="H223" s="80">
        <f>H224</f>
        <v>18382.099999999999</v>
      </c>
      <c r="I223" s="72"/>
    </row>
    <row r="224" spans="2:9" ht="30" customHeight="1" x14ac:dyDescent="0.25">
      <c r="B224" s="99" t="s">
        <v>195</v>
      </c>
      <c r="C224" s="100"/>
      <c r="D224" s="101"/>
      <c r="E224" s="104" t="s">
        <v>189</v>
      </c>
      <c r="F224" s="102">
        <v>19204</v>
      </c>
      <c r="G224" s="72"/>
      <c r="H224" s="72">
        <f>H225</f>
        <v>18382.099999999999</v>
      </c>
      <c r="I224" s="72"/>
    </row>
    <row r="225" spans="2:9" ht="30" customHeight="1" x14ac:dyDescent="0.25">
      <c r="B225" s="99"/>
      <c r="C225" s="100">
        <v>4</v>
      </c>
      <c r="D225" s="101"/>
      <c r="E225" s="55" t="s">
        <v>6</v>
      </c>
      <c r="F225" s="102">
        <f>+F224</f>
        <v>19204</v>
      </c>
      <c r="G225" s="72"/>
      <c r="H225" s="72">
        <f>H226</f>
        <v>18382.099999999999</v>
      </c>
      <c r="I225" s="72"/>
    </row>
    <row r="226" spans="2:9" ht="30" customHeight="1" x14ac:dyDescent="0.25">
      <c r="B226" s="99"/>
      <c r="C226" s="100"/>
      <c r="D226" s="101">
        <v>43</v>
      </c>
      <c r="E226" s="55" t="s">
        <v>156</v>
      </c>
      <c r="F226" s="102">
        <f>+F225</f>
        <v>19204</v>
      </c>
      <c r="G226" s="72"/>
      <c r="H226" s="72">
        <v>18382.099999999999</v>
      </c>
      <c r="I226" s="72"/>
    </row>
    <row r="227" spans="2:9" ht="30" customHeight="1" x14ac:dyDescent="0.25">
      <c r="B227" s="99"/>
      <c r="C227" s="100"/>
      <c r="D227" s="118">
        <v>431</v>
      </c>
      <c r="E227" s="55" t="s">
        <v>157</v>
      </c>
      <c r="F227" s="102">
        <v>19204</v>
      </c>
      <c r="G227" s="72"/>
      <c r="H227" s="72">
        <v>18382.099999999999</v>
      </c>
      <c r="I227" s="72"/>
    </row>
    <row r="228" spans="2:9" ht="24.75" customHeight="1" x14ac:dyDescent="0.25">
      <c r="B228" s="99"/>
      <c r="C228" s="100"/>
      <c r="D228" s="117">
        <v>4312</v>
      </c>
      <c r="E228" s="55" t="s">
        <v>203</v>
      </c>
      <c r="F228" s="102">
        <v>19204</v>
      </c>
      <c r="G228" s="72"/>
      <c r="H228" s="72">
        <v>18382.099999999999</v>
      </c>
      <c r="I228" s="72"/>
    </row>
    <row r="229" spans="2:9" x14ac:dyDescent="0.25">
      <c r="F229" s="78"/>
      <c r="G229" s="78"/>
      <c r="H229" s="78"/>
      <c r="I229" s="78"/>
    </row>
    <row r="230" spans="2:9" x14ac:dyDescent="0.25">
      <c r="B230" s="54"/>
      <c r="C230" s="54"/>
      <c r="D230" s="54"/>
      <c r="E230" s="54"/>
      <c r="F230" s="103"/>
      <c r="G230" s="103"/>
      <c r="H230" s="103"/>
      <c r="I230" s="103"/>
    </row>
    <row r="231" spans="2:9" x14ac:dyDescent="0.25">
      <c r="B231" s="54"/>
      <c r="C231" s="54"/>
      <c r="D231" s="54"/>
      <c r="E231" s="54"/>
      <c r="F231" s="103"/>
      <c r="G231" s="103"/>
      <c r="H231" s="103"/>
      <c r="I231" s="103"/>
    </row>
    <row r="232" spans="2:9" x14ac:dyDescent="0.25">
      <c r="B232" s="54"/>
      <c r="C232" s="54"/>
      <c r="D232" s="54"/>
      <c r="E232" s="54"/>
      <c r="F232" s="103"/>
      <c r="G232" s="103"/>
      <c r="H232" s="103"/>
      <c r="I232" s="103"/>
    </row>
    <row r="233" spans="2:9" x14ac:dyDescent="0.25">
      <c r="F233" s="78"/>
      <c r="G233" s="78"/>
      <c r="H233" s="78"/>
      <c r="I233" s="78"/>
    </row>
  </sheetData>
  <mergeCells count="6">
    <mergeCell ref="B9:D9"/>
    <mergeCell ref="B4:I4"/>
    <mergeCell ref="B6:E6"/>
    <mergeCell ref="B7:E7"/>
    <mergeCell ref="B2:I2"/>
    <mergeCell ref="B8:D8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Rashodi prema izvorima finan</vt:lpstr>
      <vt:lpstr> Račun prihoda i rashoda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Sanja Brlić</cp:lastModifiedBy>
  <cp:lastPrinted>2023-08-23T08:09:53Z</cp:lastPrinted>
  <dcterms:created xsi:type="dcterms:W3CDTF">2022-08-12T12:51:27Z</dcterms:created>
  <dcterms:modified xsi:type="dcterms:W3CDTF">2023-08-23T08:10:25Z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